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irea\OneDrive\Documentos\INGENIERIA\SANITARIA 2\"/>
    </mc:Choice>
  </mc:AlternateContent>
  <xr:revisionPtr revIDLastSave="0" documentId="13_ncr:1_{BA8066F7-CDBA-4E88-B8BD-B2C1197FBBB1}" xr6:coauthVersionLast="47" xr6:coauthVersionMax="47" xr10:uidLastSave="{00000000-0000-0000-0000-000000000000}"/>
  <bookViews>
    <workbookView xWindow="-110" yWindow="-110" windowWidth="25820" windowHeight="15500" activeTab="3" xr2:uid="{4377AF7B-D760-4C41-BD45-BB09383B44B8}"/>
  </bookViews>
  <sheets>
    <sheet name="CALCULO DE CAUDALES" sheetId="1" r:id="rId1"/>
    <sheet name="DISEÑO DE DRENAJE" sheetId="2" r:id="rId2"/>
    <sheet name="CONDICIONES DE SECCION LLENA" sheetId="3" r:id="rId3"/>
    <sheet name="POBLACION FUTURA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24" i="2" l="1"/>
  <c r="T24" i="2" s="1"/>
  <c r="U24" i="2" s="1"/>
  <c r="U9" i="2"/>
  <c r="D10" i="2"/>
  <c r="C10" i="2"/>
  <c r="Y10" i="2"/>
  <c r="Z10" i="2"/>
  <c r="C37" i="4"/>
  <c r="C36" i="4"/>
  <c r="C34" i="4"/>
  <c r="C28" i="4"/>
  <c r="C30" i="4" s="1"/>
  <c r="C38" i="4" s="1"/>
  <c r="C26" i="4"/>
  <c r="D21" i="4"/>
  <c r="C27" i="4" s="1"/>
  <c r="C35" i="4" s="1"/>
  <c r="D20" i="4"/>
  <c r="B38" i="3"/>
  <c r="D25" i="3"/>
  <c r="B15" i="3"/>
  <c r="B25" i="2"/>
  <c r="J25" i="2" s="1"/>
  <c r="W25" i="2"/>
  <c r="R25" i="2"/>
  <c r="S25" i="2" s="1"/>
  <c r="M25" i="2"/>
  <c r="L25" i="2"/>
  <c r="B24" i="2"/>
  <c r="W24" i="2"/>
  <c r="R24" i="2"/>
  <c r="M24" i="2"/>
  <c r="L24" i="2"/>
  <c r="B23" i="2"/>
  <c r="W23" i="2"/>
  <c r="R23" i="2"/>
  <c r="S23" i="2" s="1"/>
  <c r="M23" i="2"/>
  <c r="L23" i="2"/>
  <c r="J23" i="2"/>
  <c r="W22" i="2"/>
  <c r="S22" i="2"/>
  <c r="Y22" i="2" s="1"/>
  <c r="Z22" i="2" s="1"/>
  <c r="R22" i="2"/>
  <c r="M22" i="2"/>
  <c r="L22" i="2"/>
  <c r="B22" i="2"/>
  <c r="F21" i="2"/>
  <c r="W21" i="2"/>
  <c r="R21" i="2"/>
  <c r="S21" i="2" s="1"/>
  <c r="M21" i="2"/>
  <c r="L21" i="2"/>
  <c r="W20" i="2"/>
  <c r="R20" i="2"/>
  <c r="S20" i="2" s="1"/>
  <c r="M20" i="2"/>
  <c r="L20" i="2"/>
  <c r="B20" i="2"/>
  <c r="W19" i="2"/>
  <c r="R19" i="2"/>
  <c r="S19" i="2" s="1"/>
  <c r="M19" i="2"/>
  <c r="L19" i="2"/>
  <c r="B19" i="2"/>
  <c r="D19" i="2" s="1"/>
  <c r="W18" i="2"/>
  <c r="R18" i="2"/>
  <c r="S18" i="2" s="1"/>
  <c r="M18" i="2"/>
  <c r="L18" i="2"/>
  <c r="B18" i="2"/>
  <c r="J18" i="2" s="1"/>
  <c r="W17" i="2"/>
  <c r="R17" i="2"/>
  <c r="S17" i="2" s="1"/>
  <c r="Y17" i="2" s="1"/>
  <c r="Z17" i="2" s="1"/>
  <c r="M17" i="2"/>
  <c r="L17" i="2"/>
  <c r="F16" i="2"/>
  <c r="B17" i="2" s="1"/>
  <c r="W16" i="2"/>
  <c r="R16" i="2"/>
  <c r="S16" i="2" s="1"/>
  <c r="M16" i="2"/>
  <c r="L16" i="2"/>
  <c r="B15" i="2"/>
  <c r="B16" i="2" s="1"/>
  <c r="W15" i="2"/>
  <c r="R15" i="2"/>
  <c r="S15" i="2" s="1"/>
  <c r="M15" i="2"/>
  <c r="L15" i="2"/>
  <c r="J15" i="2"/>
  <c r="D8" i="2"/>
  <c r="B14" i="2"/>
  <c r="D14" i="2" s="1"/>
  <c r="B12" i="2"/>
  <c r="B13" i="2"/>
  <c r="J13" i="2" s="1"/>
  <c r="W13" i="2"/>
  <c r="R13" i="2"/>
  <c r="S13" i="2" s="1"/>
  <c r="M13" i="2"/>
  <c r="L13" i="2"/>
  <c r="F38" i="1"/>
  <c r="E4" i="1" s="1"/>
  <c r="N4" i="1" s="1"/>
  <c r="J8" i="2"/>
  <c r="C17" i="1"/>
  <c r="C15" i="1"/>
  <c r="C14" i="1"/>
  <c r="C12" i="1"/>
  <c r="C10" i="1"/>
  <c r="C9" i="1"/>
  <c r="C7" i="1"/>
  <c r="C31" i="4" l="1"/>
  <c r="C39" i="4" s="1"/>
  <c r="B20" i="3"/>
  <c r="B21" i="3" s="1"/>
  <c r="B22" i="3" s="1"/>
  <c r="D26" i="3" s="1"/>
  <c r="D27" i="3" s="1"/>
  <c r="B17" i="3"/>
  <c r="B39" i="3" s="1"/>
  <c r="B40" i="3" s="1"/>
  <c r="J16" i="2"/>
  <c r="D16" i="2"/>
  <c r="G16" i="2" s="1"/>
  <c r="J24" i="2"/>
  <c r="J17" i="2"/>
  <c r="J22" i="2"/>
  <c r="J20" i="2"/>
  <c r="B21" i="2"/>
  <c r="Y25" i="2"/>
  <c r="Z25" i="2" s="1"/>
  <c r="T25" i="2"/>
  <c r="U25" i="2" s="1"/>
  <c r="Y24" i="2"/>
  <c r="Z24" i="2" s="1"/>
  <c r="Y23" i="2"/>
  <c r="Z23" i="2" s="1"/>
  <c r="T23" i="2"/>
  <c r="U23" i="2" s="1"/>
  <c r="T22" i="2"/>
  <c r="U22" i="2" s="1"/>
  <c r="Y21" i="2"/>
  <c r="T21" i="2"/>
  <c r="U21" i="2" s="1"/>
  <c r="T20" i="2"/>
  <c r="U20" i="2" s="1"/>
  <c r="Y20" i="2"/>
  <c r="Z20" i="2" s="1"/>
  <c r="G19" i="2"/>
  <c r="Y19" i="2"/>
  <c r="T19" i="2"/>
  <c r="U19" i="2" s="1"/>
  <c r="J19" i="2"/>
  <c r="Y18" i="2"/>
  <c r="Z18" i="2" s="1"/>
  <c r="T18" i="2"/>
  <c r="U18" i="2" s="1"/>
  <c r="T17" i="2"/>
  <c r="U17" i="2" s="1"/>
  <c r="Y16" i="2"/>
  <c r="T16" i="2"/>
  <c r="U16" i="2" s="1"/>
  <c r="Y15" i="2"/>
  <c r="Z15" i="2" s="1"/>
  <c r="T15" i="2"/>
  <c r="U15" i="2" s="1"/>
  <c r="Y13" i="2"/>
  <c r="Z13" i="2" s="1"/>
  <c r="T13" i="2"/>
  <c r="U13" i="2" s="1"/>
  <c r="W14" i="2"/>
  <c r="R14" i="2"/>
  <c r="S14" i="2" s="1"/>
  <c r="M14" i="2"/>
  <c r="L14" i="2"/>
  <c r="G14" i="2" s="1"/>
  <c r="D15" i="2" s="1"/>
  <c r="J14" i="2"/>
  <c r="W12" i="2"/>
  <c r="R12" i="2"/>
  <c r="S12" i="2" s="1"/>
  <c r="T12" i="2" s="1"/>
  <c r="M12" i="2"/>
  <c r="L12" i="2"/>
  <c r="W11" i="2"/>
  <c r="R11" i="2"/>
  <c r="S11" i="2" s="1"/>
  <c r="M11" i="2"/>
  <c r="L11" i="2"/>
  <c r="W10" i="2"/>
  <c r="R10" i="2"/>
  <c r="S10" i="2" s="1"/>
  <c r="M10" i="2"/>
  <c r="L10" i="2"/>
  <c r="B10" i="2"/>
  <c r="B11" i="2" s="1"/>
  <c r="W9" i="2"/>
  <c r="R9" i="2"/>
  <c r="S9" i="2" s="1"/>
  <c r="Y9" i="2" s="1"/>
  <c r="M9" i="2"/>
  <c r="L9" i="2"/>
  <c r="B9" i="2"/>
  <c r="D9" i="2" s="1"/>
  <c r="W8" i="2"/>
  <c r="R8" i="2"/>
  <c r="M8" i="2"/>
  <c r="K8" i="2"/>
  <c r="L8" i="2" s="1"/>
  <c r="G8" i="2" s="1"/>
  <c r="E15" i="1"/>
  <c r="N15" i="1" s="1"/>
  <c r="O15" i="1" s="1"/>
  <c r="P15" i="1" s="1"/>
  <c r="G21" i="1"/>
  <c r="D21" i="1"/>
  <c r="G20" i="1"/>
  <c r="D20" i="1"/>
  <c r="G19" i="1"/>
  <c r="D19" i="1"/>
  <c r="G18" i="1"/>
  <c r="D18" i="1"/>
  <c r="G17" i="1"/>
  <c r="D17" i="1"/>
  <c r="G16" i="1"/>
  <c r="D16" i="1"/>
  <c r="G15" i="1"/>
  <c r="D15" i="1"/>
  <c r="G14" i="1"/>
  <c r="D14" i="1"/>
  <c r="G13" i="1"/>
  <c r="D13" i="1"/>
  <c r="G12" i="1"/>
  <c r="D12" i="1"/>
  <c r="G11" i="1"/>
  <c r="D11" i="1"/>
  <c r="G10" i="1"/>
  <c r="D10" i="1"/>
  <c r="G9" i="1"/>
  <c r="D9" i="1"/>
  <c r="G8" i="1"/>
  <c r="D8" i="1"/>
  <c r="G7" i="1"/>
  <c r="D7" i="1"/>
  <c r="G6" i="1"/>
  <c r="D6" i="1"/>
  <c r="G5" i="1"/>
  <c r="D5" i="1"/>
  <c r="G4" i="1"/>
  <c r="D4" i="1"/>
  <c r="G15" i="2" l="1"/>
  <c r="H15" i="2" s="1"/>
  <c r="C15" i="2"/>
  <c r="H19" i="2"/>
  <c r="D20" i="2"/>
  <c r="H16" i="2"/>
  <c r="D17" i="2"/>
  <c r="D21" i="2"/>
  <c r="G21" i="2" s="1"/>
  <c r="J21" i="2"/>
  <c r="G9" i="2"/>
  <c r="H9" i="2" s="1"/>
  <c r="H14" i="2"/>
  <c r="D13" i="2"/>
  <c r="Y12" i="2"/>
  <c r="Z12" i="2" s="1"/>
  <c r="D11" i="2"/>
  <c r="G11" i="2" s="1"/>
  <c r="J11" i="2"/>
  <c r="J10" i="2"/>
  <c r="J9" i="2"/>
  <c r="F4" i="1"/>
  <c r="H4" i="1" s="1"/>
  <c r="I4" i="1" s="1"/>
  <c r="R4" i="1" s="1"/>
  <c r="F5" i="1"/>
  <c r="H5" i="1" s="1"/>
  <c r="I5" i="1" s="1"/>
  <c r="F16" i="1"/>
  <c r="H16" i="1" s="1"/>
  <c r="I16" i="1" s="1"/>
  <c r="K16" i="1" s="1"/>
  <c r="O4" i="1"/>
  <c r="P4" i="1" s="1"/>
  <c r="F8" i="1"/>
  <c r="H8" i="1" s="1"/>
  <c r="I8" i="1" s="1"/>
  <c r="R8" i="1" s="1"/>
  <c r="F21" i="1"/>
  <c r="H21" i="1" s="1"/>
  <c r="I21" i="1" s="1"/>
  <c r="R21" i="1" s="1"/>
  <c r="E20" i="1"/>
  <c r="N20" i="1" s="1"/>
  <c r="O20" i="1" s="1"/>
  <c r="P20" i="1" s="1"/>
  <c r="E16" i="1"/>
  <c r="N16" i="1" s="1"/>
  <c r="O16" i="1" s="1"/>
  <c r="P16" i="1" s="1"/>
  <c r="F17" i="1"/>
  <c r="H17" i="1" s="1"/>
  <c r="I17" i="1" s="1"/>
  <c r="R17" i="1" s="1"/>
  <c r="F9" i="1"/>
  <c r="H9" i="1" s="1"/>
  <c r="I9" i="1" s="1"/>
  <c r="R9" i="1" s="1"/>
  <c r="F14" i="1"/>
  <c r="H14" i="1" s="1"/>
  <c r="I14" i="1" s="1"/>
  <c r="F18" i="1"/>
  <c r="H18" i="1" s="1"/>
  <c r="I18" i="1" s="1"/>
  <c r="R18" i="1" s="1"/>
  <c r="F10" i="1"/>
  <c r="H10" i="1" s="1"/>
  <c r="I10" i="1" s="1"/>
  <c r="R10" i="1" s="1"/>
  <c r="E14" i="1"/>
  <c r="N14" i="1" s="1"/>
  <c r="O14" i="1" s="1"/>
  <c r="P14" i="1" s="1"/>
  <c r="E18" i="1"/>
  <c r="N18" i="1" s="1"/>
  <c r="O18" i="1" s="1"/>
  <c r="P18" i="1" s="1"/>
  <c r="E7" i="1"/>
  <c r="N7" i="1" s="1"/>
  <c r="O7" i="1" s="1"/>
  <c r="P7" i="1" s="1"/>
  <c r="E8" i="1"/>
  <c r="N8" i="1" s="1"/>
  <c r="O8" i="1" s="1"/>
  <c r="P8" i="1" s="1"/>
  <c r="E17" i="1"/>
  <c r="N17" i="1" s="1"/>
  <c r="O17" i="1" s="1"/>
  <c r="P17" i="1" s="1"/>
  <c r="F6" i="1"/>
  <c r="H6" i="1" s="1"/>
  <c r="I6" i="1" s="1"/>
  <c r="R6" i="1" s="1"/>
  <c r="F12" i="1"/>
  <c r="H12" i="1" s="1"/>
  <c r="I12" i="1" s="1"/>
  <c r="K12" i="1" s="1"/>
  <c r="F13" i="1"/>
  <c r="H13" i="1" s="1"/>
  <c r="I13" i="1" s="1"/>
  <c r="R13" i="1" s="1"/>
  <c r="E5" i="1"/>
  <c r="N5" i="1" s="1"/>
  <c r="O5" i="1" s="1"/>
  <c r="P5" i="1" s="1"/>
  <c r="E6" i="1"/>
  <c r="N6" i="1" s="1"/>
  <c r="O6" i="1" s="1"/>
  <c r="P6" i="1" s="1"/>
  <c r="F15" i="1"/>
  <c r="H15" i="1" s="1"/>
  <c r="I15" i="1" s="1"/>
  <c r="R15" i="1" s="1"/>
  <c r="F19" i="1"/>
  <c r="H19" i="1" s="1"/>
  <c r="I19" i="1" s="1"/>
  <c r="R19" i="1" s="1"/>
  <c r="E11" i="1"/>
  <c r="N11" i="1" s="1"/>
  <c r="O11" i="1" s="1"/>
  <c r="P11" i="1" s="1"/>
  <c r="F7" i="1"/>
  <c r="H7" i="1" s="1"/>
  <c r="I7" i="1" s="1"/>
  <c r="K7" i="1" s="1"/>
  <c r="F20" i="1"/>
  <c r="H20" i="1" s="1"/>
  <c r="I20" i="1" s="1"/>
  <c r="R20" i="1" s="1"/>
  <c r="Y14" i="2"/>
  <c r="T14" i="2"/>
  <c r="U14" i="2" s="1"/>
  <c r="H8" i="2"/>
  <c r="S8" i="2"/>
  <c r="U12" i="2"/>
  <c r="Y11" i="2"/>
  <c r="T11" i="2"/>
  <c r="U11" i="2" s="1"/>
  <c r="T9" i="2"/>
  <c r="T10" i="2"/>
  <c r="U10" i="2" s="1"/>
  <c r="J12" i="2"/>
  <c r="R7" i="1"/>
  <c r="R5" i="1"/>
  <c r="K5" i="1"/>
  <c r="R16" i="1"/>
  <c r="E19" i="1"/>
  <c r="N19" i="1" s="1"/>
  <c r="O19" i="1" s="1"/>
  <c r="P19" i="1" s="1"/>
  <c r="E21" i="1"/>
  <c r="N21" i="1" s="1"/>
  <c r="O21" i="1" s="1"/>
  <c r="P21" i="1" s="1"/>
  <c r="E9" i="1"/>
  <c r="N9" i="1" s="1"/>
  <c r="O9" i="1" s="1"/>
  <c r="P9" i="1" s="1"/>
  <c r="E10" i="1"/>
  <c r="N10" i="1" s="1"/>
  <c r="O10" i="1" s="1"/>
  <c r="P10" i="1" s="1"/>
  <c r="F11" i="1"/>
  <c r="H11" i="1" s="1"/>
  <c r="I11" i="1" s="1"/>
  <c r="E12" i="1"/>
  <c r="N12" i="1" s="1"/>
  <c r="O12" i="1" s="1"/>
  <c r="P12" i="1" s="1"/>
  <c r="E13" i="1"/>
  <c r="N13" i="1" s="1"/>
  <c r="O13" i="1" s="1"/>
  <c r="P13" i="1" s="1"/>
  <c r="G20" i="2" l="1"/>
  <c r="H20" i="2" s="1"/>
  <c r="C20" i="2"/>
  <c r="H21" i="2"/>
  <c r="D22" i="2"/>
  <c r="G17" i="2"/>
  <c r="H17" i="2" s="1"/>
  <c r="C17" i="2"/>
  <c r="G10" i="2"/>
  <c r="H10" i="2" s="1"/>
  <c r="H11" i="2"/>
  <c r="D12" i="2"/>
  <c r="C12" i="2" s="1"/>
  <c r="G13" i="2"/>
  <c r="C13" i="2"/>
  <c r="K20" i="1"/>
  <c r="K17" i="1"/>
  <c r="T17" i="1" s="1"/>
  <c r="K4" i="1"/>
  <c r="S4" i="1" s="1"/>
  <c r="K8" i="1"/>
  <c r="K10" i="1"/>
  <c r="S7" i="1"/>
  <c r="K9" i="1"/>
  <c r="T9" i="1" s="1"/>
  <c r="K21" i="1"/>
  <c r="S21" i="1" s="1"/>
  <c r="K6" i="1"/>
  <c r="T6" i="1" s="1"/>
  <c r="T20" i="1"/>
  <c r="R12" i="1"/>
  <c r="T12" i="1" s="1"/>
  <c r="R14" i="1"/>
  <c r="K14" i="1"/>
  <c r="T5" i="1"/>
  <c r="K13" i="1"/>
  <c r="T13" i="1" s="1"/>
  <c r="K18" i="1"/>
  <c r="T18" i="1" s="1"/>
  <c r="K19" i="1"/>
  <c r="T19" i="1" s="1"/>
  <c r="K15" i="1"/>
  <c r="T15" i="1" s="1"/>
  <c r="S20" i="1"/>
  <c r="T16" i="1"/>
  <c r="T10" i="1"/>
  <c r="S8" i="1"/>
  <c r="T4" i="1"/>
  <c r="T8" i="2"/>
  <c r="U8" i="2" s="1"/>
  <c r="Y8" i="2"/>
  <c r="S10" i="1"/>
  <c r="S17" i="1"/>
  <c r="S13" i="1"/>
  <c r="T8" i="1"/>
  <c r="K11" i="1"/>
  <c r="R11" i="1"/>
  <c r="S16" i="1"/>
  <c r="S5" i="1"/>
  <c r="T7" i="1"/>
  <c r="H13" i="2" l="1"/>
  <c r="D18" i="2"/>
  <c r="G22" i="2"/>
  <c r="H22" i="2" s="1"/>
  <c r="C22" i="2"/>
  <c r="G12" i="2"/>
  <c r="H12" i="2" s="1"/>
  <c r="S12" i="1"/>
  <c r="T21" i="1"/>
  <c r="T11" i="1"/>
  <c r="S6" i="1"/>
  <c r="S9" i="1"/>
  <c r="S18" i="1"/>
  <c r="T14" i="1"/>
  <c r="S19" i="1"/>
  <c r="S15" i="1"/>
  <c r="S14" i="1"/>
  <c r="S11" i="1"/>
  <c r="G18" i="2" l="1"/>
  <c r="C18" i="2"/>
  <c r="T22" i="1"/>
  <c r="T30" i="1" s="1"/>
  <c r="H18" i="2" l="1"/>
  <c r="D23" i="2"/>
  <c r="C23" i="2" l="1"/>
  <c r="G23" i="2"/>
  <c r="H23" i="2" l="1"/>
  <c r="D24" i="2"/>
  <c r="C24" i="2" l="1"/>
  <c r="G24" i="2"/>
  <c r="H24" i="2" l="1"/>
  <c r="D25" i="2"/>
  <c r="C25" i="2" l="1"/>
  <c r="G25" i="2"/>
  <c r="H25" i="2" s="1"/>
</calcChain>
</file>

<file path=xl/sharedStrings.xml><?xml version="1.0" encoding="utf-8"?>
<sst xmlns="http://schemas.openxmlformats.org/spreadsheetml/2006/main" count="150" uniqueCount="116">
  <si>
    <t>P.D.</t>
  </si>
  <si>
    <t>Viviendas actuales</t>
  </si>
  <si>
    <t>Habitantes actuales</t>
  </si>
  <si>
    <t>Viviendas futuras</t>
  </si>
  <si>
    <t>Habitantes futuras</t>
  </si>
  <si>
    <t>Dotación         Lit/hab/día</t>
  </si>
  <si>
    <t>Caudal medio           Lit/hab/día</t>
  </si>
  <si>
    <t>Caudal domiciliar medio   (Datación)    Lit/hab/día</t>
  </si>
  <si>
    <t>Factor de lluvia ilicita</t>
  </si>
  <si>
    <t>Caudal de lluvia ilicita</t>
  </si>
  <si>
    <t>Factor de infiltración</t>
  </si>
  <si>
    <t>Longitud de tubería central</t>
  </si>
  <si>
    <t>Longitud de conexiones</t>
  </si>
  <si>
    <t>Longitud de tubería</t>
  </si>
  <si>
    <t>Caudal de infiltración</t>
  </si>
  <si>
    <t>Factor comercial mas industrial</t>
  </si>
  <si>
    <t>Caudal industrial mas comercial</t>
  </si>
  <si>
    <t>Caudal sanitario medio</t>
  </si>
  <si>
    <t>Caudal sanitario máximo</t>
  </si>
  <si>
    <t>No.</t>
  </si>
  <si>
    <t>Criterio</t>
  </si>
  <si>
    <t>Cantidad</t>
  </si>
  <si>
    <t>Unidad</t>
  </si>
  <si>
    <t>Factor de retorno</t>
  </si>
  <si>
    <t>%</t>
  </si>
  <si>
    <t>Factor de flujo</t>
  </si>
  <si>
    <t>Densidad de vivienda</t>
  </si>
  <si>
    <t>Hab/viv</t>
  </si>
  <si>
    <t>Periodo de diseño</t>
  </si>
  <si>
    <t>Años</t>
  </si>
  <si>
    <t>Tasa de crecimiento geométrico</t>
  </si>
  <si>
    <t>Factor de crecimiento</t>
  </si>
  <si>
    <t>Longitud por cenexión</t>
  </si>
  <si>
    <t>m</t>
  </si>
  <si>
    <t>Dotación de agua potable</t>
  </si>
  <si>
    <t>L/hab/día</t>
  </si>
  <si>
    <t>DRENAJE SANITARIO</t>
  </si>
  <si>
    <t>De Pozo</t>
  </si>
  <si>
    <t>A Pozo</t>
  </si>
  <si>
    <t>Caudal  lts./seg.</t>
  </si>
  <si>
    <t>Pendiente de terreno</t>
  </si>
  <si>
    <t>Pendiente de le tubería</t>
  </si>
  <si>
    <t>Diferencia de alturas entre pozos</t>
  </si>
  <si>
    <t>Longitud en planta</t>
  </si>
  <si>
    <t>Longitud de diseño</t>
  </si>
  <si>
    <t>Tipo de tubería</t>
  </si>
  <si>
    <t>Factor de manning</t>
  </si>
  <si>
    <t>Diámetro propuesto  pulgadas</t>
  </si>
  <si>
    <t>Sección llena</t>
  </si>
  <si>
    <t>q/Q</t>
  </si>
  <si>
    <t>d/D</t>
  </si>
  <si>
    <t>Tirante hidráulico  pulgadas</t>
  </si>
  <si>
    <t>v/V</t>
  </si>
  <si>
    <t>Velocidad a sección parcial m/s</t>
  </si>
  <si>
    <t>Número</t>
  </si>
  <si>
    <t>Cota de terreno</t>
  </si>
  <si>
    <t>Profundidad de pozo 1</t>
  </si>
  <si>
    <t>Cota invertida de salida</t>
  </si>
  <si>
    <t>Cota invertida de llegada</t>
  </si>
  <si>
    <t>Profundidad de tubería de cota invertida de llegada.</t>
  </si>
  <si>
    <t>Radio hidráulico</t>
  </si>
  <si>
    <t>Velocidad</t>
  </si>
  <si>
    <t>PVC</t>
  </si>
  <si>
    <t>POZO DE SEGUIMIENTOO DE 1.40</t>
  </si>
  <si>
    <t>POZO DE INICIO 1.35</t>
  </si>
  <si>
    <t xml:space="preserve">debajo de la velocidad de 1.6 subimos pendiente </t>
  </si>
  <si>
    <t xml:space="preserve">arriba de la velocidad de 1.6 se baja la pendiente </t>
  </si>
  <si>
    <t>tiene que cumplir q/Q</t>
  </si>
  <si>
    <t>A13</t>
  </si>
  <si>
    <t>V(m/s)</t>
  </si>
  <si>
    <t xml:space="preserve">n (Coeficiente de Manning) </t>
  </si>
  <si>
    <t xml:space="preserve">R (Radio Hidraulico) </t>
  </si>
  <si>
    <t xml:space="preserve">S (Pendiente) </t>
  </si>
  <si>
    <t>1. CONDICIONES DE SECCION LLENA</t>
  </si>
  <si>
    <t>CALCULANDO VELOCIDAD A SECCION LLENA</t>
  </si>
  <si>
    <t>n</t>
  </si>
  <si>
    <t>d (cm)</t>
  </si>
  <si>
    <t>Pulgadas</t>
  </si>
  <si>
    <t>Se cambia el diametro para que cumpla</t>
  </si>
  <si>
    <t>S</t>
  </si>
  <si>
    <t>v</t>
  </si>
  <si>
    <t xml:space="preserve">CALCULO DE Q </t>
  </si>
  <si>
    <t>Q</t>
  </si>
  <si>
    <t>m^3/s</t>
  </si>
  <si>
    <t>L/s</t>
  </si>
  <si>
    <t>q</t>
  </si>
  <si>
    <t xml:space="preserve">Inge lo da </t>
  </si>
  <si>
    <t>CALCULO DE q/Q</t>
  </si>
  <si>
    <t>2. CONDICIONANTE RELACION d</t>
  </si>
  <si>
    <t>CALCULO DE d/D</t>
  </si>
  <si>
    <t>Dato sacado de la Tabla</t>
  </si>
  <si>
    <t>Uso de la tuberia del 59%</t>
  </si>
  <si>
    <t>CALCULO SEGUNDA LA TABLA DE v/V</t>
  </si>
  <si>
    <t xml:space="preserve">CALCULANDO VELOCIDAD A SECCION PARCIAL </t>
  </si>
  <si>
    <t>V</t>
  </si>
  <si>
    <t xml:space="preserve">PERIDODO DE DISEÑO DE 22 A 23 AÑOS </t>
  </si>
  <si>
    <t>Para poder calcular taza de crecimiento ("R)</t>
  </si>
  <si>
    <t xml:space="preserve">Poblacion Inicial </t>
  </si>
  <si>
    <t>PO</t>
  </si>
  <si>
    <t xml:space="preserve">Poblacion Final </t>
  </si>
  <si>
    <t>PF</t>
  </si>
  <si>
    <t>Año Inicial</t>
  </si>
  <si>
    <t xml:space="preserve">Año Actual </t>
  </si>
  <si>
    <t xml:space="preserve">Periodo de años </t>
  </si>
  <si>
    <t>Taza de Crecimiento Goemetrico</t>
  </si>
  <si>
    <t>R=</t>
  </si>
  <si>
    <t>Calcular Nuestra Poblacion Futura</t>
  </si>
  <si>
    <t>Poblacion Futura  Año</t>
  </si>
  <si>
    <t xml:space="preserve">Poblacion Actual </t>
  </si>
  <si>
    <t>R</t>
  </si>
  <si>
    <t xml:space="preserve">Año Futuro </t>
  </si>
  <si>
    <t>Poblacion Futura</t>
  </si>
  <si>
    <t>RESULTADOS FINALES</t>
  </si>
  <si>
    <t xml:space="preserve">AÑO INICIAL </t>
  </si>
  <si>
    <t>AÑO FUTURO</t>
  </si>
  <si>
    <t>POBLACION FUTURA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</si>
</sst>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0.000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Book Antiqua"/>
      <family val="1"/>
    </font>
    <font>
      <sz val="11"/>
      <color theme="1"/>
      <name val="Book Antiqua"/>
      <family val="1"/>
    </font>
    <font>
      <b/>
      <sz val="25"/>
      <color theme="1"/>
      <name val="Batang"/>
      <family val="1"/>
    </font>
    <font>
      <sz val="20"/>
      <color theme="1"/>
      <name val="Calibri"/>
      <family val="2"/>
      <scheme val="minor"/>
    </font>
    <font>
      <sz val="11"/>
      <color rgb="FFFF0000"/>
      <name val="AIGDT"/>
      <charset val="2"/>
    </font>
    <font>
      <sz val="20"/>
      <name val="Arial"/>
      <family val="2"/>
    </font>
    <font>
      <sz val="14"/>
      <color theme="1"/>
      <name val="Calibri"/>
      <family val="2"/>
      <scheme val="minor"/>
    </font>
    <font>
      <sz val="18"/>
      <name val="Calibri"/>
      <family val="2"/>
      <scheme val="minor"/>
    </font>
    <font>
      <sz val="18"/>
      <color theme="1"/>
      <name val="Calibri"/>
      <family val="2"/>
      <scheme val="minor"/>
    </font>
    <font>
      <sz val="18"/>
      <name val="Arial"/>
      <family val="2"/>
    </font>
    <font>
      <b/>
      <sz val="14"/>
      <color theme="1"/>
      <name val="Arial"/>
      <family val="2"/>
    </font>
    <font>
      <b/>
      <sz val="18"/>
      <color theme="1"/>
      <name val="Arial"/>
      <family val="2"/>
    </font>
    <font>
      <b/>
      <sz val="14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Arial"/>
      <family val="2"/>
    </font>
    <font>
      <b/>
      <sz val="11"/>
      <color theme="1"/>
      <name val="Arial"/>
      <family val="2"/>
    </font>
    <font>
      <b/>
      <sz val="11"/>
      <name val="Arial"/>
      <family val="2"/>
    </font>
    <font>
      <sz val="20"/>
      <color theme="0"/>
      <name val="Calibri"/>
      <family val="2"/>
      <scheme val="minor"/>
    </font>
    <font>
      <sz val="12"/>
      <color theme="1"/>
      <name val="Arial"/>
      <family val="2"/>
    </font>
    <font>
      <b/>
      <sz val="12"/>
      <color rgb="FFFF0000"/>
      <name val="Arial"/>
      <family val="2"/>
    </font>
    <font>
      <sz val="12"/>
      <name val="Arial"/>
      <family val="2"/>
    </font>
  </fonts>
  <fills count="1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2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30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2" fontId="0" fillId="0" borderId="1" xfId="0" applyNumberFormat="1" applyBorder="1" applyAlignment="1">
      <alignment horizontal="center"/>
    </xf>
    <xf numFmtId="9" fontId="0" fillId="0" borderId="1" xfId="2" applyFont="1" applyBorder="1" applyAlignment="1">
      <alignment horizontal="center"/>
    </xf>
    <xf numFmtId="2" fontId="0" fillId="4" borderId="1" xfId="0" applyNumberFormat="1" applyFill="1" applyBorder="1" applyAlignment="1">
      <alignment horizontal="center"/>
    </xf>
    <xf numFmtId="2" fontId="0" fillId="0" borderId="0" xfId="0" applyNumberFormat="1"/>
    <xf numFmtId="0" fontId="4" fillId="0" borderId="1" xfId="0" applyFont="1" applyBorder="1" applyAlignment="1">
      <alignment horizontal="center"/>
    </xf>
    <xf numFmtId="9" fontId="4" fillId="0" borderId="1" xfId="2" applyFont="1" applyBorder="1" applyAlignment="1">
      <alignment horizontal="center"/>
    </xf>
    <xf numFmtId="43" fontId="4" fillId="0" borderId="1" xfId="1" applyFont="1" applyBorder="1" applyAlignment="1">
      <alignment horizontal="center"/>
    </xf>
    <xf numFmtId="0" fontId="0" fillId="0" borderId="0" xfId="0" applyAlignment="1">
      <alignment horizontal="center"/>
    </xf>
    <xf numFmtId="2" fontId="17" fillId="0" borderId="0" xfId="0" applyNumberFormat="1" applyFont="1" applyAlignment="1">
      <alignment horizontal="center"/>
    </xf>
    <xf numFmtId="10" fontId="11" fillId="0" borderId="0" xfId="2" applyNumberFormat="1" applyFont="1" applyFill="1" applyBorder="1" applyAlignment="1">
      <alignment horizontal="center" vertical="center"/>
    </xf>
    <xf numFmtId="0" fontId="3" fillId="6" borderId="7" xfId="0" applyFont="1" applyFill="1" applyBorder="1" applyAlignment="1">
      <alignment horizontal="center"/>
    </xf>
    <xf numFmtId="0" fontId="3" fillId="6" borderId="8" xfId="0" applyFont="1" applyFill="1" applyBorder="1" applyAlignment="1">
      <alignment horizontal="center"/>
    </xf>
    <xf numFmtId="0" fontId="3" fillId="6" borderId="19" xfId="0" applyFont="1" applyFill="1" applyBorder="1" applyAlignment="1">
      <alignment horizontal="center"/>
    </xf>
    <xf numFmtId="0" fontId="0" fillId="0" borderId="9" xfId="0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4" fillId="0" borderId="21" xfId="0" applyFont="1" applyBorder="1" applyAlignment="1">
      <alignment horizontal="center"/>
    </xf>
    <xf numFmtId="0" fontId="2" fillId="2" borderId="4" xfId="0" applyFont="1" applyFill="1" applyBorder="1" applyAlignment="1">
      <alignment horizontal="center" vertical="center" wrapText="1"/>
    </xf>
    <xf numFmtId="0" fontId="2" fillId="2" borderId="14" xfId="0" applyFont="1" applyFill="1" applyBorder="1" applyAlignment="1">
      <alignment horizontal="center" vertic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2" fillId="2" borderId="14" xfId="0" applyFont="1" applyFill="1" applyBorder="1" applyAlignment="1">
      <alignment horizontal="center" vertical="center" wrapText="1"/>
    </xf>
    <xf numFmtId="1" fontId="0" fillId="0" borderId="15" xfId="0" applyNumberFormat="1" applyBorder="1" applyAlignment="1">
      <alignment horizontal="center"/>
    </xf>
    <xf numFmtId="1" fontId="0" fillId="0" borderId="16" xfId="0" applyNumberFormat="1" applyBorder="1" applyAlignment="1">
      <alignment horizontal="center"/>
    </xf>
    <xf numFmtId="2" fontId="0" fillId="0" borderId="4" xfId="0" applyNumberFormat="1" applyBorder="1" applyAlignment="1">
      <alignment horizontal="center"/>
    </xf>
    <xf numFmtId="2" fontId="18" fillId="11" borderId="1" xfId="0" applyNumberFormat="1" applyFont="1" applyFill="1" applyBorder="1" applyAlignment="1">
      <alignment horizontal="center" vertical="center"/>
    </xf>
    <xf numFmtId="2" fontId="19" fillId="11" borderId="1" xfId="0" applyNumberFormat="1" applyFont="1" applyFill="1" applyBorder="1" applyAlignment="1">
      <alignment horizontal="center" vertical="center"/>
    </xf>
    <xf numFmtId="2" fontId="18" fillId="0" borderId="1" xfId="0" applyNumberFormat="1" applyFont="1" applyBorder="1" applyAlignment="1">
      <alignment horizontal="center" vertical="center"/>
    </xf>
    <xf numFmtId="0" fontId="22" fillId="7" borderId="1" xfId="0" applyFont="1" applyFill="1" applyBorder="1" applyAlignment="1">
      <alignment horizontal="center" vertical="center" wrapText="1"/>
    </xf>
    <xf numFmtId="164" fontId="0" fillId="0" borderId="0" xfId="0" applyNumberFormat="1"/>
    <xf numFmtId="0" fontId="6" fillId="0" borderId="0" xfId="0" applyFont="1"/>
    <xf numFmtId="0" fontId="23" fillId="0" borderId="0" xfId="0" applyFont="1"/>
    <xf numFmtId="0" fontId="7" fillId="0" borderId="0" xfId="0" applyFont="1"/>
    <xf numFmtId="0" fontId="9" fillId="0" borderId="0" xfId="0" applyFont="1"/>
    <xf numFmtId="0" fontId="21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2" fontId="14" fillId="0" borderId="0" xfId="0" applyNumberFormat="1" applyFont="1" applyAlignment="1">
      <alignment vertical="center"/>
    </xf>
    <xf numFmtId="2" fontId="15" fillId="0" borderId="0" xfId="0" applyNumberFormat="1" applyFont="1" applyAlignment="1">
      <alignment horizontal="center" vertical="center"/>
    </xf>
    <xf numFmtId="2" fontId="21" fillId="0" borderId="0" xfId="0" applyNumberFormat="1" applyFont="1" applyAlignment="1">
      <alignment vertical="center"/>
    </xf>
    <xf numFmtId="0" fontId="13" fillId="11" borderId="0" xfId="0" applyFont="1" applyFill="1" applyAlignment="1">
      <alignment vertical="center"/>
    </xf>
    <xf numFmtId="1" fontId="10" fillId="0" borderId="0" xfId="0" applyNumberFormat="1" applyFont="1" applyAlignment="1">
      <alignment horizontal="center" vertical="center"/>
    </xf>
    <xf numFmtId="2" fontId="10" fillId="0" borderId="0" xfId="0" applyNumberFormat="1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2" fontId="11" fillId="0" borderId="0" xfId="0" applyNumberFormat="1" applyFont="1" applyAlignment="1">
      <alignment horizontal="center" vertical="center"/>
    </xf>
    <xf numFmtId="10" fontId="11" fillId="0" borderId="0" xfId="0" applyNumberFormat="1" applyFont="1" applyAlignment="1">
      <alignment horizontal="center" vertical="center"/>
    </xf>
    <xf numFmtId="164" fontId="11" fillId="0" borderId="0" xfId="0" applyNumberFormat="1" applyFont="1" applyAlignment="1">
      <alignment horizontal="center" vertical="center"/>
    </xf>
    <xf numFmtId="2" fontId="12" fillId="0" borderId="0" xfId="0" applyNumberFormat="1" applyFont="1" applyAlignment="1">
      <alignment horizontal="center" vertical="center"/>
    </xf>
    <xf numFmtId="4" fontId="12" fillId="0" borderId="0" xfId="0" applyNumberFormat="1" applyFont="1" applyAlignment="1">
      <alignment horizontal="center" vertical="center"/>
    </xf>
    <xf numFmtId="4" fontId="8" fillId="0" borderId="0" xfId="0" applyNumberFormat="1" applyFont="1" applyAlignment="1">
      <alignment horizontal="center" vertical="center"/>
    </xf>
    <xf numFmtId="2" fontId="13" fillId="0" borderId="0" xfId="0" applyNumberFormat="1" applyFont="1" applyAlignment="1">
      <alignment vertical="center"/>
    </xf>
    <xf numFmtId="0" fontId="11" fillId="0" borderId="0" xfId="0" applyFont="1" applyAlignment="1">
      <alignment horizontal="center"/>
    </xf>
    <xf numFmtId="0" fontId="11" fillId="0" borderId="0" xfId="0" applyFont="1"/>
    <xf numFmtId="1" fontId="11" fillId="0" borderId="0" xfId="0" applyNumberFormat="1" applyFont="1" applyAlignment="1">
      <alignment horizontal="center"/>
    </xf>
    <xf numFmtId="164" fontId="11" fillId="0" borderId="0" xfId="0" applyNumberFormat="1" applyFont="1"/>
    <xf numFmtId="1" fontId="11" fillId="0" borderId="0" xfId="0" applyNumberFormat="1" applyFont="1"/>
    <xf numFmtId="0" fontId="16" fillId="0" borderId="0" xfId="0" applyFont="1"/>
    <xf numFmtId="0" fontId="7" fillId="3" borderId="1" xfId="0" applyFont="1" applyFill="1" applyBorder="1" applyAlignment="1">
      <alignment horizontal="center"/>
    </xf>
    <xf numFmtId="164" fontId="7" fillId="3" borderId="1" xfId="0" applyNumberFormat="1" applyFont="1" applyFill="1" applyBorder="1" applyAlignment="1">
      <alignment horizontal="center"/>
    </xf>
    <xf numFmtId="0" fontId="22" fillId="8" borderId="1" xfId="0" applyFont="1" applyFill="1" applyBorder="1" applyAlignment="1">
      <alignment horizontal="center" vertical="center" wrapText="1"/>
    </xf>
    <xf numFmtId="0" fontId="22" fillId="9" borderId="1" xfId="0" applyFont="1" applyFill="1" applyBorder="1" applyAlignment="1">
      <alignment horizontal="center" vertical="center" wrapText="1"/>
    </xf>
    <xf numFmtId="164" fontId="22" fillId="10" borderId="1" xfId="0" applyNumberFormat="1" applyFont="1" applyFill="1" applyBorder="1" applyAlignment="1">
      <alignment horizontal="center" vertical="center" wrapText="1"/>
    </xf>
    <xf numFmtId="0" fontId="22" fillId="10" borderId="1" xfId="0" applyFont="1" applyFill="1" applyBorder="1" applyAlignment="1">
      <alignment horizontal="center" vertical="center" wrapText="1"/>
    </xf>
    <xf numFmtId="1" fontId="18" fillId="11" borderId="1" xfId="0" applyNumberFormat="1" applyFont="1" applyFill="1" applyBorder="1" applyAlignment="1">
      <alignment horizontal="center" vertical="center"/>
    </xf>
    <xf numFmtId="0" fontId="18" fillId="11" borderId="1" xfId="0" applyFont="1" applyFill="1" applyBorder="1" applyAlignment="1">
      <alignment horizontal="center" vertical="center"/>
    </xf>
    <xf numFmtId="2" fontId="0" fillId="11" borderId="1" xfId="0" applyNumberFormat="1" applyFill="1" applyBorder="1" applyAlignment="1">
      <alignment horizontal="center" vertical="center"/>
    </xf>
    <xf numFmtId="10" fontId="0" fillId="11" borderId="1" xfId="2" applyNumberFormat="1" applyFont="1" applyFill="1" applyBorder="1" applyAlignment="1">
      <alignment horizontal="center" vertical="center"/>
    </xf>
    <xf numFmtId="10" fontId="0" fillId="11" borderId="1" xfId="0" applyNumberFormat="1" applyFill="1" applyBorder="1" applyAlignment="1">
      <alignment horizontal="center" vertical="center"/>
    </xf>
    <xf numFmtId="164" fontId="0" fillId="11" borderId="1" xfId="0" applyNumberFormat="1" applyFill="1" applyBorder="1" applyAlignment="1">
      <alignment horizontal="center" vertical="center"/>
    </xf>
    <xf numFmtId="2" fontId="20" fillId="11" borderId="1" xfId="0" applyNumberFormat="1" applyFont="1" applyFill="1" applyBorder="1" applyAlignment="1">
      <alignment horizontal="center" vertical="center"/>
    </xf>
    <xf numFmtId="4" fontId="20" fillId="11" borderId="1" xfId="0" applyNumberFormat="1" applyFont="1" applyFill="1" applyBorder="1" applyAlignment="1">
      <alignment horizontal="center" vertical="center"/>
    </xf>
    <xf numFmtId="1" fontId="18" fillId="0" borderId="1" xfId="0" applyNumberFormat="1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10" fontId="0" fillId="0" borderId="1" xfId="2" applyNumberFormat="1" applyFont="1" applyFill="1" applyBorder="1" applyAlignment="1">
      <alignment horizontal="center" vertical="center"/>
    </xf>
    <xf numFmtId="10" fontId="0" fillId="0" borderId="1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2" fontId="20" fillId="0" borderId="1" xfId="0" applyNumberFormat="1" applyFont="1" applyBorder="1" applyAlignment="1">
      <alignment horizontal="center" vertical="center"/>
    </xf>
    <xf numFmtId="4" fontId="20" fillId="0" borderId="1" xfId="0" applyNumberFormat="1" applyFont="1" applyBorder="1" applyAlignment="1">
      <alignment horizontal="center" vertical="center"/>
    </xf>
    <xf numFmtId="0" fontId="0" fillId="0" borderId="7" xfId="0" applyBorder="1"/>
    <xf numFmtId="0" fontId="0" fillId="0" borderId="19" xfId="0" applyBorder="1"/>
    <xf numFmtId="0" fontId="0" fillId="0" borderId="9" xfId="0" applyBorder="1"/>
    <xf numFmtId="0" fontId="0" fillId="0" borderId="20" xfId="0" applyBorder="1"/>
    <xf numFmtId="0" fontId="0" fillId="0" borderId="10" xfId="0" applyBorder="1"/>
    <xf numFmtId="2" fontId="0" fillId="0" borderId="21" xfId="0" applyNumberFormat="1" applyBorder="1"/>
    <xf numFmtId="0" fontId="0" fillId="0" borderId="1" xfId="0" applyBorder="1"/>
    <xf numFmtId="0" fontId="0" fillId="0" borderId="2" xfId="0" applyBorder="1"/>
    <xf numFmtId="0" fontId="0" fillId="0" borderId="23" xfId="0" applyBorder="1"/>
    <xf numFmtId="0" fontId="0" fillId="0" borderId="3" xfId="0" applyBorder="1"/>
    <xf numFmtId="0" fontId="17" fillId="0" borderId="1" xfId="0" applyFont="1" applyBorder="1"/>
    <xf numFmtId="2" fontId="17" fillId="0" borderId="1" xfId="0" applyNumberFormat="1" applyFont="1" applyBorder="1"/>
    <xf numFmtId="2" fontId="0" fillId="0" borderId="20" xfId="0" applyNumberFormat="1" applyBorder="1"/>
    <xf numFmtId="0" fontId="17" fillId="0" borderId="10" xfId="0" applyFont="1" applyBorder="1"/>
    <xf numFmtId="2" fontId="17" fillId="0" borderId="21" xfId="0" applyNumberFormat="1" applyFont="1" applyBorder="1" applyAlignment="1">
      <alignment horizontal="left" indent="9"/>
    </xf>
    <xf numFmtId="0" fontId="24" fillId="0" borderId="0" xfId="0" applyFont="1"/>
    <xf numFmtId="0" fontId="24" fillId="0" borderId="27" xfId="0" applyFont="1" applyBorder="1"/>
    <xf numFmtId="0" fontId="24" fillId="0" borderId="1" xfId="0" applyFont="1" applyBorder="1"/>
    <xf numFmtId="0" fontId="25" fillId="0" borderId="0" xfId="0" applyFont="1"/>
    <xf numFmtId="0" fontId="25" fillId="0" borderId="1" xfId="0" applyFont="1" applyBorder="1"/>
    <xf numFmtId="0" fontId="26" fillId="0" borderId="1" xfId="0" applyFont="1" applyBorder="1"/>
    <xf numFmtId="1" fontId="25" fillId="0" borderId="1" xfId="0" applyNumberFormat="1" applyFont="1" applyBorder="1"/>
    <xf numFmtId="1" fontId="25" fillId="0" borderId="0" xfId="0" applyNumberFormat="1" applyFont="1"/>
    <xf numFmtId="1" fontId="24" fillId="0" borderId="0" xfId="0" applyNumberFormat="1" applyFont="1"/>
    <xf numFmtId="0" fontId="4" fillId="0" borderId="2" xfId="0" applyFont="1" applyBorder="1" applyAlignment="1">
      <alignment horizontal="left"/>
    </xf>
    <xf numFmtId="0" fontId="4" fillId="0" borderId="3" xfId="0" applyFont="1" applyBorder="1" applyAlignment="1">
      <alignment horizontal="left"/>
    </xf>
    <xf numFmtId="0" fontId="4" fillId="0" borderId="4" xfId="0" applyFont="1" applyBorder="1" applyAlignment="1">
      <alignment horizontal="left"/>
    </xf>
    <xf numFmtId="0" fontId="3" fillId="5" borderId="5" xfId="0" applyFont="1" applyFill="1" applyBorder="1" applyAlignment="1">
      <alignment horizontal="center"/>
    </xf>
    <xf numFmtId="0" fontId="3" fillId="5" borderId="6" xfId="0" applyFont="1" applyFill="1" applyBorder="1" applyAlignment="1">
      <alignment horizontal="center"/>
    </xf>
    <xf numFmtId="0" fontId="3" fillId="5" borderId="18" xfId="0" applyFont="1" applyFill="1" applyBorder="1" applyAlignment="1">
      <alignment horizontal="center"/>
    </xf>
    <xf numFmtId="0" fontId="4" fillId="0" borderId="22" xfId="0" applyFont="1" applyBorder="1" applyAlignment="1">
      <alignment horizontal="center"/>
    </xf>
    <xf numFmtId="0" fontId="3" fillId="6" borderId="12" xfId="0" applyFont="1" applyFill="1" applyBorder="1" applyAlignment="1">
      <alignment horizontal="center"/>
    </xf>
    <xf numFmtId="0" fontId="3" fillId="6" borderId="17" xfId="0" applyFont="1" applyFill="1" applyBorder="1" applyAlignment="1">
      <alignment horizontal="center"/>
    </xf>
    <xf numFmtId="0" fontId="3" fillId="6" borderId="13" xfId="0" applyFont="1" applyFill="1" applyBorder="1" applyAlignment="1">
      <alignment horizontal="center"/>
    </xf>
    <xf numFmtId="0" fontId="4" fillId="0" borderId="1" xfId="0" applyFont="1" applyBorder="1" applyAlignment="1">
      <alignment horizontal="left"/>
    </xf>
    <xf numFmtId="0" fontId="0" fillId="0" borderId="11" xfId="0" applyBorder="1" applyAlignment="1">
      <alignment horizontal="left"/>
    </xf>
    <xf numFmtId="0" fontId="5" fillId="0" borderId="0" xfId="0" applyFont="1" applyAlignment="1">
      <alignment horizontal="center"/>
    </xf>
    <xf numFmtId="0" fontId="22" fillId="7" borderId="1" xfId="0" applyFont="1" applyFill="1" applyBorder="1" applyAlignment="1">
      <alignment horizontal="center" vertical="center" wrapText="1"/>
    </xf>
    <xf numFmtId="0" fontId="22" fillId="8" borderId="1" xfId="0" applyFont="1" applyFill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0" fillId="0" borderId="1" xfId="0" applyFont="1" applyBorder="1" applyAlignment="1">
      <alignment horizontal="center" vertical="center" wrapText="1"/>
    </xf>
    <xf numFmtId="0" fontId="22" fillId="10" borderId="1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0" fillId="12" borderId="0" xfId="0" applyFill="1" applyAlignment="1">
      <alignment horizontal="center"/>
    </xf>
    <xf numFmtId="0" fontId="24" fillId="0" borderId="0" xfId="0" applyFont="1" applyAlignment="1">
      <alignment horizontal="center"/>
    </xf>
    <xf numFmtId="0" fontId="24" fillId="12" borderId="24" xfId="0" applyFont="1" applyFill="1" applyBorder="1" applyAlignment="1">
      <alignment horizontal="center"/>
    </xf>
    <xf numFmtId="0" fontId="24" fillId="12" borderId="25" xfId="0" applyFont="1" applyFill="1" applyBorder="1" applyAlignment="1">
      <alignment horizontal="center"/>
    </xf>
    <xf numFmtId="0" fontId="24" fillId="12" borderId="26" xfId="0" applyFont="1" applyFill="1" applyBorder="1" applyAlignment="1">
      <alignment horizontal="center"/>
    </xf>
  </cellXfs>
  <cellStyles count="3">
    <cellStyle name="Millares" xfId="1" builtinId="3"/>
    <cellStyle name="Normal" xfId="0" builtinId="0"/>
    <cellStyle name="Porcentaje" xfId="2" builtinId="5"/>
  </cellStyles>
  <dxfs count="1">
    <dxf>
      <font>
        <condense val="0"/>
        <extend val="0"/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00FF00"/>
      <color rgb="FFFF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419100</xdr:colOff>
      <xdr:row>48</xdr:row>
      <xdr:rowOff>167640</xdr:rowOff>
    </xdr:from>
    <xdr:to>
      <xdr:col>11</xdr:col>
      <xdr:colOff>89444</xdr:colOff>
      <xdr:row>68</xdr:row>
      <xdr:rowOff>58220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048489A-6EA0-8C41-581C-F48244B8B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3420" y="9959340"/>
          <a:ext cx="6279424" cy="3548180"/>
        </a:xfrm>
        <a:prstGeom prst="rect">
          <a:avLst/>
        </a:prstGeom>
      </xdr:spPr>
    </xdr:pic>
    <xdr:clientData/>
  </xdr:twoCellAnchor>
  <xdr:twoCellAnchor editAs="oneCell">
    <xdr:from>
      <xdr:col>11</xdr:col>
      <xdr:colOff>826590</xdr:colOff>
      <xdr:row>28</xdr:row>
      <xdr:rowOff>76639</xdr:rowOff>
    </xdr:from>
    <xdr:to>
      <xdr:col>13</xdr:col>
      <xdr:colOff>933695</xdr:colOff>
      <xdr:row>43</xdr:row>
      <xdr:rowOff>86711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F392FEE-15BA-BEB2-DA23-8CBD4CEA65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662"/>
        <a:stretch/>
      </xdr:blipFill>
      <xdr:spPr>
        <a:xfrm>
          <a:off x="7833487" y="6032501"/>
          <a:ext cx="2143484" cy="27252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518160</xdr:colOff>
      <xdr:row>26</xdr:row>
      <xdr:rowOff>210046</xdr:rowOff>
    </xdr:from>
    <xdr:to>
      <xdr:col>11</xdr:col>
      <xdr:colOff>1469781</xdr:colOff>
      <xdr:row>45</xdr:row>
      <xdr:rowOff>350773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8F487F1-F832-48A2-AD90-88D2765B97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4169" r="11894" b="17512"/>
        <a:stretch/>
      </xdr:blipFill>
      <xdr:spPr>
        <a:xfrm>
          <a:off x="14344595" y="7553959"/>
          <a:ext cx="5810751" cy="5066118"/>
        </a:xfrm>
        <a:prstGeom prst="rect">
          <a:avLst/>
        </a:prstGeom>
      </xdr:spPr>
    </xdr:pic>
    <xdr:clientData/>
  </xdr:twoCellAnchor>
  <xdr:twoCellAnchor editAs="oneCell">
    <xdr:from>
      <xdr:col>0</xdr:col>
      <xdr:colOff>1478280</xdr:colOff>
      <xdr:row>26</xdr:row>
      <xdr:rowOff>66705</xdr:rowOff>
    </xdr:from>
    <xdr:to>
      <xdr:col>7</xdr:col>
      <xdr:colOff>1461397</xdr:colOff>
      <xdr:row>89</xdr:row>
      <xdr:rowOff>170372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5B8FCDD5-482A-BEB0-DA31-07F760B48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8280" y="7410618"/>
          <a:ext cx="11589813" cy="136429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525780</xdr:colOff>
      <xdr:row>8</xdr:row>
      <xdr:rowOff>45720</xdr:rowOff>
    </xdr:from>
    <xdr:to>
      <xdr:col>1</xdr:col>
      <xdr:colOff>91440</xdr:colOff>
      <xdr:row>11</xdr:row>
      <xdr:rowOff>106680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41A34FD-FB48-43DB-89F6-C88D227237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696" r="7065"/>
        <a:stretch/>
      </xdr:blipFill>
      <xdr:spPr>
        <a:xfrm>
          <a:off x="525780" y="1508760"/>
          <a:ext cx="1181100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24</xdr:row>
      <xdr:rowOff>91439</xdr:rowOff>
    </xdr:from>
    <xdr:to>
      <xdr:col>1</xdr:col>
      <xdr:colOff>579120</xdr:colOff>
      <xdr:row>26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C951185-D422-49A7-AD48-E3EB3A6AA7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668" t="30004" r="3499" b="15252"/>
        <a:stretch/>
      </xdr:blipFill>
      <xdr:spPr>
        <a:xfrm>
          <a:off x="205740" y="4533899"/>
          <a:ext cx="1988820" cy="44958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762001</xdr:colOff>
      <xdr:row>1</xdr:row>
      <xdr:rowOff>76201</xdr:rowOff>
    </xdr:from>
    <xdr:to>
      <xdr:col>3</xdr:col>
      <xdr:colOff>423581</xdr:colOff>
      <xdr:row>5</xdr:row>
      <xdr:rowOff>15241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55A2B77E-43A6-45D5-BBB1-CB58A94EB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77441" y="259081"/>
          <a:ext cx="1597060" cy="670560"/>
        </a:xfrm>
        <a:prstGeom prst="rect">
          <a:avLst/>
        </a:prstGeom>
      </xdr:spPr>
    </xdr:pic>
    <xdr:clientData/>
  </xdr:twoCellAnchor>
  <xdr:twoCellAnchor editAs="oneCell">
    <xdr:from>
      <xdr:col>2</xdr:col>
      <xdr:colOff>91441</xdr:colOff>
      <xdr:row>28</xdr:row>
      <xdr:rowOff>15240</xdr:rowOff>
    </xdr:from>
    <xdr:to>
      <xdr:col>3</xdr:col>
      <xdr:colOff>99060</xdr:colOff>
      <xdr:row>30</xdr:row>
      <xdr:rowOff>63919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B3F0876-2D64-4E95-98E5-A1D95E87DD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15690" r="7334" b="9000"/>
        <a:stretch/>
      </xdr:blipFill>
      <xdr:spPr>
        <a:xfrm>
          <a:off x="2849881" y="5189220"/>
          <a:ext cx="800099" cy="41443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33</xdr:row>
      <xdr:rowOff>60961</xdr:rowOff>
    </xdr:from>
    <xdr:to>
      <xdr:col>1</xdr:col>
      <xdr:colOff>622675</xdr:colOff>
      <xdr:row>35</xdr:row>
      <xdr:rowOff>91440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AE554B4-472A-4461-9CE3-EE536B7A3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1" y="6149341"/>
          <a:ext cx="2200014" cy="396239"/>
        </a:xfrm>
        <a:prstGeom prst="rect">
          <a:avLst/>
        </a:prstGeom>
      </xdr:spPr>
    </xdr:pic>
    <xdr:clientData/>
  </xdr:twoCellAnchor>
  <xdr:twoCellAnchor editAs="oneCell">
    <xdr:from>
      <xdr:col>2</xdr:col>
      <xdr:colOff>106680</xdr:colOff>
      <xdr:row>37</xdr:row>
      <xdr:rowOff>99061</xdr:rowOff>
    </xdr:from>
    <xdr:to>
      <xdr:col>3</xdr:col>
      <xdr:colOff>740924</xdr:colOff>
      <xdr:row>39</xdr:row>
      <xdr:rowOff>68581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FC337BE-B540-402B-8BFB-C2C4C9FCA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65120" y="6926581"/>
          <a:ext cx="1426724" cy="33528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9</xdr:row>
      <xdr:rowOff>0</xdr:rowOff>
    </xdr:from>
    <xdr:to>
      <xdr:col>3</xdr:col>
      <xdr:colOff>432988</xdr:colOff>
      <xdr:row>11</xdr:row>
      <xdr:rowOff>85383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33ECD62-D297-405D-820F-27BCB1D0A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96440" y="1645920"/>
          <a:ext cx="1987468" cy="4511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141288</xdr:colOff>
      <xdr:row>15</xdr:row>
      <xdr:rowOff>49212</xdr:rowOff>
    </xdr:from>
    <xdr:to>
      <xdr:col>7</xdr:col>
      <xdr:colOff>766693</xdr:colOff>
      <xdr:row>20</xdr:row>
      <xdr:rowOff>27305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1A65565-DAA3-4965-A0DF-A19A36BCB5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407" t="12010" r="6482" b="13447"/>
        <a:stretch/>
      </xdr:blipFill>
      <xdr:spPr>
        <a:xfrm>
          <a:off x="5482908" y="2921952"/>
          <a:ext cx="2545645" cy="89249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8</xdr:col>
      <xdr:colOff>98426</xdr:colOff>
      <xdr:row>15</xdr:row>
      <xdr:rowOff>84138</xdr:rowOff>
    </xdr:from>
    <xdr:to>
      <xdr:col>10</xdr:col>
      <xdr:colOff>494696</xdr:colOff>
      <xdr:row>19</xdr:row>
      <xdr:rowOff>100647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7AF0BD3-0F53-4691-98EA-86E18A1D7A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589" t="8668" b="1"/>
        <a:stretch/>
      </xdr:blipFill>
      <xdr:spPr>
        <a:xfrm>
          <a:off x="8152766" y="2956878"/>
          <a:ext cx="1981230" cy="748029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69850</xdr:colOff>
      <xdr:row>25</xdr:row>
      <xdr:rowOff>63500</xdr:rowOff>
    </xdr:from>
    <xdr:to>
      <xdr:col>8</xdr:col>
      <xdr:colOff>249841</xdr:colOff>
      <xdr:row>30</xdr:row>
      <xdr:rowOff>112595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C08744F-84BE-4129-811D-32EA26B0E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11470" y="4864100"/>
          <a:ext cx="2892711" cy="96349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69850</xdr:colOff>
      <xdr:row>33</xdr:row>
      <xdr:rowOff>0</xdr:rowOff>
    </xdr:from>
    <xdr:to>
      <xdr:col>9</xdr:col>
      <xdr:colOff>294640</xdr:colOff>
      <xdr:row>38</xdr:row>
      <xdr:rowOff>125412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9F6BD740-F2AB-4FF7-9544-7D31945AA6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84" t="12124" r="3095" b="7563"/>
        <a:stretch/>
      </xdr:blipFill>
      <xdr:spPr>
        <a:xfrm>
          <a:off x="5411470" y="6339840"/>
          <a:ext cx="3729990" cy="103981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0</xdr:col>
      <xdr:colOff>673100</xdr:colOff>
      <xdr:row>2</xdr:row>
      <xdr:rowOff>101600</xdr:rowOff>
    </xdr:from>
    <xdr:to>
      <xdr:col>9</xdr:col>
      <xdr:colOff>304800</xdr:colOff>
      <xdr:row>9</xdr:row>
      <xdr:rowOff>50800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9DB23B58-5196-4972-A56B-319349496A08}"/>
            </a:ext>
          </a:extLst>
        </xdr:cNvPr>
        <xdr:cNvSpPr txBox="1"/>
      </xdr:nvSpPr>
      <xdr:spPr>
        <a:xfrm>
          <a:off x="673100" y="482600"/>
          <a:ext cx="8478520" cy="1282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GT" sz="2000">
              <a:latin typeface="Arial" panose="020B0604020202020204" pitchFamily="34" charset="0"/>
              <a:cs typeface="Arial" panose="020B0604020202020204" pitchFamily="34" charset="0"/>
            </a:rPr>
            <a:t>CALCULAR</a:t>
          </a:r>
          <a:r>
            <a:rPr lang="es-GT" sz="2000" baseline="0">
              <a:latin typeface="Arial" panose="020B0604020202020204" pitchFamily="34" charset="0"/>
              <a:cs typeface="Arial" panose="020B0604020202020204" pitchFamily="34" charset="0"/>
            </a:rPr>
            <a:t> (PARA COLOCAR EL PROBLEMA QUE VAYA A DEJAR EL INGE)</a:t>
          </a:r>
        </a:p>
        <a:p>
          <a:endParaRPr lang="es-GT" sz="1100"/>
        </a:p>
      </xdr:txBody>
    </xdr:sp>
    <xdr:clientData/>
  </xdr:twoCellAnchor>
  <xdr:twoCellAnchor editAs="oneCell">
    <xdr:from>
      <xdr:col>1</xdr:col>
      <xdr:colOff>142875</xdr:colOff>
      <xdr:row>40</xdr:row>
      <xdr:rowOff>31748</xdr:rowOff>
    </xdr:from>
    <xdr:to>
      <xdr:col>1</xdr:col>
      <xdr:colOff>1878542</xdr:colOff>
      <xdr:row>45</xdr:row>
      <xdr:rowOff>12263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4076D4C-A8E7-47D6-9C10-ED4A197233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9166"/>
        <a:stretch/>
      </xdr:blipFill>
      <xdr:spPr>
        <a:xfrm>
          <a:off x="935355" y="7705088"/>
          <a:ext cx="1735667" cy="93301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141288</xdr:colOff>
      <xdr:row>15</xdr:row>
      <xdr:rowOff>49212</xdr:rowOff>
    </xdr:from>
    <xdr:to>
      <xdr:col>7</xdr:col>
      <xdr:colOff>766693</xdr:colOff>
      <xdr:row>19</xdr:row>
      <xdr:rowOff>179705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C091AE8-B1CA-4D16-8C63-7641357CCE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407" t="12010" r="6482" b="13447"/>
        <a:stretch/>
      </xdr:blipFill>
      <xdr:spPr>
        <a:xfrm>
          <a:off x="5482908" y="2921952"/>
          <a:ext cx="2545645" cy="86201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8</xdr:col>
      <xdr:colOff>98426</xdr:colOff>
      <xdr:row>15</xdr:row>
      <xdr:rowOff>84138</xdr:rowOff>
    </xdr:from>
    <xdr:to>
      <xdr:col>10</xdr:col>
      <xdr:colOff>494697</xdr:colOff>
      <xdr:row>19</xdr:row>
      <xdr:rowOff>70167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188525D-8DB6-4566-90D8-F67B1BD219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589" t="8668" b="1"/>
        <a:stretch/>
      </xdr:blipFill>
      <xdr:spPr>
        <a:xfrm>
          <a:off x="8152766" y="2956878"/>
          <a:ext cx="1981231" cy="717549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69850</xdr:colOff>
      <xdr:row>25</xdr:row>
      <xdr:rowOff>63500</xdr:rowOff>
    </xdr:from>
    <xdr:to>
      <xdr:col>8</xdr:col>
      <xdr:colOff>249840</xdr:colOff>
      <xdr:row>30</xdr:row>
      <xdr:rowOff>74495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0D20BFD-5D99-4B34-9D87-D74D538CE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11470" y="4864100"/>
          <a:ext cx="2892710" cy="92539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69850</xdr:colOff>
      <xdr:row>33</xdr:row>
      <xdr:rowOff>0</xdr:rowOff>
    </xdr:from>
    <xdr:to>
      <xdr:col>9</xdr:col>
      <xdr:colOff>294639</xdr:colOff>
      <xdr:row>38</xdr:row>
      <xdr:rowOff>87312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F7A0BDF6-0FAD-4FFE-B6B1-07F3766973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84" t="12124" r="3095" b="7563"/>
        <a:stretch/>
      </xdr:blipFill>
      <xdr:spPr>
        <a:xfrm>
          <a:off x="5411470" y="6339840"/>
          <a:ext cx="3729989" cy="100171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0</xdr:col>
      <xdr:colOff>673100</xdr:colOff>
      <xdr:row>2</xdr:row>
      <xdr:rowOff>101600</xdr:rowOff>
    </xdr:from>
    <xdr:to>
      <xdr:col>9</xdr:col>
      <xdr:colOff>304800</xdr:colOff>
      <xdr:row>9</xdr:row>
      <xdr:rowOff>50800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478C5D48-C9EB-4F83-BA7E-3DC2090A89DD}"/>
            </a:ext>
          </a:extLst>
        </xdr:cNvPr>
        <xdr:cNvSpPr txBox="1"/>
      </xdr:nvSpPr>
      <xdr:spPr>
        <a:xfrm>
          <a:off x="673100" y="482600"/>
          <a:ext cx="8478520" cy="1282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GT" sz="2000">
              <a:latin typeface="Arial" panose="020B0604020202020204" pitchFamily="34" charset="0"/>
              <a:cs typeface="Arial" panose="020B0604020202020204" pitchFamily="34" charset="0"/>
            </a:rPr>
            <a:t>CALCULAR</a:t>
          </a:r>
          <a:r>
            <a:rPr lang="es-GT" sz="2000" baseline="0">
              <a:latin typeface="Arial" panose="020B0604020202020204" pitchFamily="34" charset="0"/>
              <a:cs typeface="Arial" panose="020B0604020202020204" pitchFamily="34" charset="0"/>
            </a:rPr>
            <a:t> (PARA COLOCAR EL PROBLEMA QUE VAYA A DEJAR EL INGE)</a:t>
          </a:r>
        </a:p>
        <a:p>
          <a:endParaRPr lang="es-GT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EECCDF-39B8-4F55-8176-C76E41ACE21E}">
  <sheetPr>
    <tabColor rgb="FFFF66FF"/>
    <pageSetUpPr fitToPage="1"/>
  </sheetPr>
  <dimension ref="B2:T42"/>
  <sheetViews>
    <sheetView zoomScale="116" zoomScaleNormal="116" workbookViewId="0">
      <selection activeCell="U23" sqref="U23"/>
    </sheetView>
  </sheetViews>
  <sheetFormatPr baseColWidth="10" defaultRowHeight="14.5" x14ac:dyDescent="0.35"/>
  <cols>
    <col min="1" max="1" width="4" customWidth="1"/>
    <col min="2" max="2" width="14.6328125" customWidth="1"/>
    <col min="3" max="3" width="8" customWidth="1"/>
    <col min="4" max="4" width="7.54296875" customWidth="1"/>
    <col min="5" max="5" width="7.453125" customWidth="1"/>
    <col min="6" max="6" width="9.453125" customWidth="1"/>
    <col min="7" max="7" width="11.08984375" customWidth="1"/>
    <col min="8" max="8" width="8.08984375" customWidth="1"/>
    <col min="9" max="9" width="12.08984375" customWidth="1"/>
    <col min="10" max="10" width="8.36328125" customWidth="1"/>
    <col min="11" max="11" width="9.54296875" customWidth="1"/>
    <col min="12" max="12" width="13" customWidth="1"/>
    <col min="13" max="13" width="16.1796875" customWidth="1"/>
    <col min="14" max="14" width="16.90625" customWidth="1"/>
    <col min="15" max="15" width="20.6328125" customWidth="1"/>
    <col min="16" max="16" width="10.453125" customWidth="1"/>
    <col min="17" max="17" width="9.36328125" customWidth="1"/>
    <col min="18" max="18" width="16.36328125" customWidth="1"/>
    <col min="19" max="19" width="9.1796875" customWidth="1"/>
  </cols>
  <sheetData>
    <row r="2" spans="2:20" ht="15" thickBot="1" x14ac:dyDescent="0.4"/>
    <row r="3" spans="2:20" ht="72.5" x14ac:dyDescent="0.35">
      <c r="B3" s="22" t="s">
        <v>0</v>
      </c>
      <c r="C3" s="25" t="s">
        <v>1</v>
      </c>
      <c r="D3" s="25" t="s">
        <v>2</v>
      </c>
      <c r="E3" s="25" t="s">
        <v>3</v>
      </c>
      <c r="F3" s="25" t="s">
        <v>4</v>
      </c>
      <c r="G3" s="25" t="s">
        <v>5</v>
      </c>
      <c r="H3" s="21" t="s">
        <v>6</v>
      </c>
      <c r="I3" s="2" t="s">
        <v>7</v>
      </c>
      <c r="J3" s="1" t="s">
        <v>8</v>
      </c>
      <c r="K3" s="2" t="s">
        <v>9</v>
      </c>
      <c r="L3" s="1" t="s">
        <v>10</v>
      </c>
      <c r="M3" s="1" t="s">
        <v>11</v>
      </c>
      <c r="N3" s="1" t="s">
        <v>12</v>
      </c>
      <c r="O3" s="1" t="s">
        <v>13</v>
      </c>
      <c r="P3" s="2" t="s">
        <v>14</v>
      </c>
      <c r="Q3" s="1" t="s">
        <v>15</v>
      </c>
      <c r="R3" s="2" t="s">
        <v>16</v>
      </c>
      <c r="S3" s="1" t="s">
        <v>17</v>
      </c>
      <c r="T3" s="1" t="s">
        <v>18</v>
      </c>
    </row>
    <row r="4" spans="2:20" x14ac:dyDescent="0.35">
      <c r="B4" s="23">
        <v>1</v>
      </c>
      <c r="C4" s="23">
        <v>40</v>
      </c>
      <c r="D4" s="23">
        <f t="shared" ref="D4:D21" si="0">C4*$F$35</f>
        <v>240</v>
      </c>
      <c r="E4" s="26">
        <f>C4*$F$38</f>
        <v>90.354034448684942</v>
      </c>
      <c r="F4" s="26">
        <f t="shared" ref="E4:F21" si="1">D4*$F$38</f>
        <v>542.12420669210962</v>
      </c>
      <c r="G4" s="23">
        <f>$F$40</f>
        <v>150</v>
      </c>
      <c r="H4" s="28">
        <f>F4*G4/86400</f>
        <v>0.94118785884046807</v>
      </c>
      <c r="I4" s="3">
        <f>H4*$F$33</f>
        <v>0.705890894130351</v>
      </c>
      <c r="J4" s="4">
        <v>0.1</v>
      </c>
      <c r="K4" s="3">
        <f>I4*J4</f>
        <v>7.05890894130351E-2</v>
      </c>
      <c r="L4" s="3">
        <v>0.12</v>
      </c>
      <c r="M4" s="3">
        <v>100</v>
      </c>
      <c r="N4" s="3">
        <f>E4*$F$39</f>
        <v>1084.2484133842192</v>
      </c>
      <c r="O4" s="3">
        <f>M4+N4</f>
        <v>1184.2484133842192</v>
      </c>
      <c r="P4" s="3">
        <f>L4*O4/1000</f>
        <v>0.14210980960610631</v>
      </c>
      <c r="Q4" s="4">
        <v>0.15</v>
      </c>
      <c r="R4" s="3">
        <f>Q4*I4</f>
        <v>0.10588363411955265</v>
      </c>
      <c r="S4" s="3">
        <f>I4+K4+P4+R4</f>
        <v>1.024473427269045</v>
      </c>
      <c r="T4" s="5">
        <f t="shared" ref="T4:T21" si="2">(I4*$F$34)+K4+P4+R4</f>
        <v>2.0833097684645718</v>
      </c>
    </row>
    <row r="5" spans="2:20" x14ac:dyDescent="0.35">
      <c r="B5" s="23">
        <v>2</v>
      </c>
      <c r="C5" s="23">
        <v>38</v>
      </c>
      <c r="D5" s="23">
        <f t="shared" si="0"/>
        <v>228</v>
      </c>
      <c r="E5" s="26">
        <f t="shared" si="1"/>
        <v>85.836332726250703</v>
      </c>
      <c r="F5" s="26">
        <f t="shared" si="1"/>
        <v>515.01799635750422</v>
      </c>
      <c r="G5" s="23">
        <f t="shared" ref="G5:G21" si="3">$F$40</f>
        <v>150</v>
      </c>
      <c r="H5" s="28">
        <f t="shared" ref="H5:H21" si="4">F5*G5/86400</f>
        <v>0.89412846589844486</v>
      </c>
      <c r="I5" s="3">
        <f t="shared" ref="I5:I21" si="5">H5*$F$33</f>
        <v>0.67059634942383362</v>
      </c>
      <c r="J5" s="4">
        <v>0.1</v>
      </c>
      <c r="K5" s="3">
        <f t="shared" ref="K5:K21" si="6">I5*J5</f>
        <v>6.7059634942383359E-2</v>
      </c>
      <c r="L5" s="3">
        <v>0.12</v>
      </c>
      <c r="M5" s="3">
        <v>100</v>
      </c>
      <c r="N5" s="3">
        <f t="shared" ref="N5:N21" si="7">E5*$F$39</f>
        <v>1030.0359927150084</v>
      </c>
      <c r="O5" s="3">
        <f t="shared" ref="O5:O21" si="8">M5+N5</f>
        <v>1130.0359927150084</v>
      </c>
      <c r="P5" s="3">
        <f t="shared" ref="P5:P21" si="9">L5*O5/1000</f>
        <v>0.13560431912580101</v>
      </c>
      <c r="Q5" s="4">
        <v>0.15</v>
      </c>
      <c r="R5" s="3">
        <f t="shared" ref="R5:R21" si="10">Q5*I5</f>
        <v>0.10058945241357505</v>
      </c>
      <c r="S5" s="3">
        <f t="shared" ref="S5:S21" si="11">I5+K5+P5+R5</f>
        <v>0.97384975590559297</v>
      </c>
      <c r="T5" s="5">
        <f t="shared" si="2"/>
        <v>1.9797442800413434</v>
      </c>
    </row>
    <row r="6" spans="2:20" x14ac:dyDescent="0.35">
      <c r="B6" s="23">
        <v>3</v>
      </c>
      <c r="C6" s="23">
        <v>62</v>
      </c>
      <c r="D6" s="23">
        <f t="shared" si="0"/>
        <v>372</v>
      </c>
      <c r="E6" s="26">
        <f t="shared" si="1"/>
        <v>140.04875339546166</v>
      </c>
      <c r="F6" s="26">
        <f t="shared" si="1"/>
        <v>840.29252037277001</v>
      </c>
      <c r="G6" s="23">
        <f t="shared" si="3"/>
        <v>150</v>
      </c>
      <c r="H6" s="28">
        <f t="shared" si="4"/>
        <v>1.4588411812027258</v>
      </c>
      <c r="I6" s="3">
        <f t="shared" si="5"/>
        <v>1.0941308859020444</v>
      </c>
      <c r="J6" s="4">
        <v>0.1</v>
      </c>
      <c r="K6" s="3">
        <f t="shared" si="6"/>
        <v>0.10941308859020445</v>
      </c>
      <c r="L6" s="3">
        <v>0.12</v>
      </c>
      <c r="M6" s="3">
        <v>100</v>
      </c>
      <c r="N6" s="3">
        <f t="shared" si="7"/>
        <v>1680.58504074554</v>
      </c>
      <c r="O6" s="3">
        <f t="shared" si="8"/>
        <v>1780.58504074554</v>
      </c>
      <c r="P6" s="3">
        <f t="shared" si="9"/>
        <v>0.21367020488946481</v>
      </c>
      <c r="Q6" s="4">
        <v>0.15</v>
      </c>
      <c r="R6" s="3">
        <f t="shared" si="10"/>
        <v>0.16411963288530665</v>
      </c>
      <c r="S6" s="3">
        <f t="shared" si="11"/>
        <v>1.5813338122670204</v>
      </c>
      <c r="T6" s="5">
        <f>(I6*$F$34)+K6+P6+R6</f>
        <v>3.2225301411200875</v>
      </c>
    </row>
    <row r="7" spans="2:20" x14ac:dyDescent="0.35">
      <c r="B7" s="23">
        <v>4</v>
      </c>
      <c r="C7" s="23">
        <f>54+30</f>
        <v>84</v>
      </c>
      <c r="D7" s="23">
        <f t="shared" si="0"/>
        <v>504</v>
      </c>
      <c r="E7" s="26">
        <f t="shared" si="1"/>
        <v>189.74347234223839</v>
      </c>
      <c r="F7" s="26">
        <f t="shared" si="1"/>
        <v>1138.4608340534303</v>
      </c>
      <c r="G7" s="23">
        <f t="shared" si="3"/>
        <v>150</v>
      </c>
      <c r="H7" s="28">
        <f t="shared" si="4"/>
        <v>1.976494503564983</v>
      </c>
      <c r="I7" s="3">
        <f t="shared" si="5"/>
        <v>1.4823708776737372</v>
      </c>
      <c r="J7" s="4">
        <v>0.1</v>
      </c>
      <c r="K7" s="3">
        <f t="shared" si="6"/>
        <v>0.14823708776737374</v>
      </c>
      <c r="L7" s="3">
        <v>0.12</v>
      </c>
      <c r="M7" s="3">
        <v>100</v>
      </c>
      <c r="N7" s="3">
        <f t="shared" si="7"/>
        <v>2276.9216681068606</v>
      </c>
      <c r="O7" s="3">
        <f t="shared" si="8"/>
        <v>2376.9216681068606</v>
      </c>
      <c r="P7" s="3">
        <f t="shared" si="9"/>
        <v>0.28523060017282326</v>
      </c>
      <c r="Q7" s="4">
        <v>0.15</v>
      </c>
      <c r="R7" s="3">
        <f t="shared" si="10"/>
        <v>0.22235563165106056</v>
      </c>
      <c r="S7" s="3">
        <f t="shared" si="11"/>
        <v>2.1381941972649949</v>
      </c>
      <c r="T7" s="5">
        <f t="shared" si="2"/>
        <v>4.3617505137756005</v>
      </c>
    </row>
    <row r="8" spans="2:20" x14ac:dyDescent="0.35">
      <c r="B8" s="23">
        <v>5</v>
      </c>
      <c r="C8" s="23">
        <v>26</v>
      </c>
      <c r="D8" s="23">
        <f t="shared" si="0"/>
        <v>156</v>
      </c>
      <c r="E8" s="26">
        <f t="shared" si="1"/>
        <v>58.730122391645217</v>
      </c>
      <c r="F8" s="26">
        <f t="shared" si="1"/>
        <v>352.38073434987126</v>
      </c>
      <c r="G8" s="23">
        <f t="shared" si="3"/>
        <v>150</v>
      </c>
      <c r="H8" s="28">
        <f t="shared" si="4"/>
        <v>0.61177210824630424</v>
      </c>
      <c r="I8" s="3">
        <f t="shared" si="5"/>
        <v>0.4588290811847282</v>
      </c>
      <c r="J8" s="4">
        <v>0.1</v>
      </c>
      <c r="K8" s="3">
        <f t="shared" si="6"/>
        <v>4.5882908118472822E-2</v>
      </c>
      <c r="L8" s="3">
        <v>0.12</v>
      </c>
      <c r="M8" s="3">
        <v>100</v>
      </c>
      <c r="N8" s="3">
        <f t="shared" si="7"/>
        <v>704.76146869974264</v>
      </c>
      <c r="O8" s="3">
        <f t="shared" si="8"/>
        <v>804.76146869974264</v>
      </c>
      <c r="P8" s="3">
        <f t="shared" si="9"/>
        <v>9.6571376243969109E-2</v>
      </c>
      <c r="Q8" s="4">
        <v>0.15</v>
      </c>
      <c r="R8" s="3">
        <f t="shared" si="10"/>
        <v>6.8824362177709222E-2</v>
      </c>
      <c r="S8" s="3">
        <f t="shared" si="11"/>
        <v>0.67010772772487937</v>
      </c>
      <c r="T8" s="5">
        <f t="shared" si="2"/>
        <v>1.3583513495019715</v>
      </c>
    </row>
    <row r="9" spans="2:20" x14ac:dyDescent="0.35">
      <c r="B9" s="23">
        <v>6</v>
      </c>
      <c r="C9" s="23">
        <f>36+38</f>
        <v>74</v>
      </c>
      <c r="D9" s="23">
        <f t="shared" si="0"/>
        <v>444</v>
      </c>
      <c r="E9" s="26">
        <f t="shared" si="1"/>
        <v>167.15496373006715</v>
      </c>
      <c r="F9" s="26">
        <f t="shared" si="1"/>
        <v>1002.9297823804029</v>
      </c>
      <c r="G9" s="23">
        <f t="shared" si="3"/>
        <v>150</v>
      </c>
      <c r="H9" s="28">
        <f t="shared" si="4"/>
        <v>1.7411975388548662</v>
      </c>
      <c r="I9" s="3">
        <f t="shared" si="5"/>
        <v>1.3058981541411496</v>
      </c>
      <c r="J9" s="4">
        <v>0.1</v>
      </c>
      <c r="K9" s="3">
        <f t="shared" si="6"/>
        <v>0.13058981541411496</v>
      </c>
      <c r="L9" s="3">
        <v>0.12</v>
      </c>
      <c r="M9" s="3">
        <v>100</v>
      </c>
      <c r="N9" s="3">
        <f t="shared" si="7"/>
        <v>2005.8595647608058</v>
      </c>
      <c r="O9" s="3">
        <f t="shared" si="8"/>
        <v>2105.8595647608058</v>
      </c>
      <c r="P9" s="3">
        <f t="shared" si="9"/>
        <v>0.25270314777129671</v>
      </c>
      <c r="Q9" s="4">
        <v>0.15</v>
      </c>
      <c r="R9" s="3">
        <f t="shared" si="10"/>
        <v>0.19588472312117244</v>
      </c>
      <c r="S9" s="3">
        <f t="shared" si="11"/>
        <v>1.8850758404477337</v>
      </c>
      <c r="T9" s="5">
        <f t="shared" si="2"/>
        <v>3.8439230716594581</v>
      </c>
    </row>
    <row r="10" spans="2:20" x14ac:dyDescent="0.35">
      <c r="B10" s="23">
        <v>7</v>
      </c>
      <c r="C10" s="23">
        <f>42+42</f>
        <v>84</v>
      </c>
      <c r="D10" s="23">
        <f t="shared" si="0"/>
        <v>504</v>
      </c>
      <c r="E10" s="26">
        <f t="shared" si="1"/>
        <v>189.74347234223839</v>
      </c>
      <c r="F10" s="26">
        <f t="shared" si="1"/>
        <v>1138.4608340534303</v>
      </c>
      <c r="G10" s="23">
        <f t="shared" si="3"/>
        <v>150</v>
      </c>
      <c r="H10" s="28">
        <f t="shared" si="4"/>
        <v>1.976494503564983</v>
      </c>
      <c r="I10" s="3">
        <f t="shared" si="5"/>
        <v>1.4823708776737372</v>
      </c>
      <c r="J10" s="4">
        <v>0.1</v>
      </c>
      <c r="K10" s="3">
        <f t="shared" si="6"/>
        <v>0.14823708776737374</v>
      </c>
      <c r="L10" s="3">
        <v>0.12</v>
      </c>
      <c r="M10" s="3">
        <v>100</v>
      </c>
      <c r="N10" s="3">
        <f t="shared" si="7"/>
        <v>2276.9216681068606</v>
      </c>
      <c r="O10" s="3">
        <f t="shared" si="8"/>
        <v>2376.9216681068606</v>
      </c>
      <c r="P10" s="3">
        <f t="shared" si="9"/>
        <v>0.28523060017282326</v>
      </c>
      <c r="Q10" s="4">
        <v>0.15</v>
      </c>
      <c r="R10" s="3">
        <f t="shared" si="10"/>
        <v>0.22235563165106056</v>
      </c>
      <c r="S10" s="3">
        <f t="shared" si="11"/>
        <v>2.1381941972649949</v>
      </c>
      <c r="T10" s="5">
        <f t="shared" si="2"/>
        <v>4.3617505137756005</v>
      </c>
    </row>
    <row r="11" spans="2:20" x14ac:dyDescent="0.35">
      <c r="B11" s="23">
        <v>8</v>
      </c>
      <c r="C11" s="23">
        <v>40</v>
      </c>
      <c r="D11" s="23">
        <f t="shared" si="0"/>
        <v>240</v>
      </c>
      <c r="E11" s="26">
        <f t="shared" si="1"/>
        <v>90.354034448684942</v>
      </c>
      <c r="F11" s="26">
        <f t="shared" si="1"/>
        <v>542.12420669210962</v>
      </c>
      <c r="G11" s="23">
        <f t="shared" si="3"/>
        <v>150</v>
      </c>
      <c r="H11" s="28">
        <f t="shared" si="4"/>
        <v>0.94118785884046807</v>
      </c>
      <c r="I11" s="3">
        <f t="shared" si="5"/>
        <v>0.705890894130351</v>
      </c>
      <c r="J11" s="4">
        <v>0.1</v>
      </c>
      <c r="K11" s="3">
        <f t="shared" si="6"/>
        <v>7.05890894130351E-2</v>
      </c>
      <c r="L11" s="3">
        <v>0.12</v>
      </c>
      <c r="M11" s="3">
        <v>100</v>
      </c>
      <c r="N11" s="3">
        <f t="shared" si="7"/>
        <v>1084.2484133842192</v>
      </c>
      <c r="O11" s="3">
        <f t="shared" si="8"/>
        <v>1184.2484133842192</v>
      </c>
      <c r="P11" s="3">
        <f t="shared" si="9"/>
        <v>0.14210980960610631</v>
      </c>
      <c r="Q11" s="4">
        <v>0.15</v>
      </c>
      <c r="R11" s="3">
        <f t="shared" si="10"/>
        <v>0.10588363411955265</v>
      </c>
      <c r="S11" s="3">
        <f t="shared" si="11"/>
        <v>1.024473427269045</v>
      </c>
      <c r="T11" s="5">
        <f t="shared" si="2"/>
        <v>2.0833097684645718</v>
      </c>
    </row>
    <row r="12" spans="2:20" x14ac:dyDescent="0.35">
      <c r="B12" s="23">
        <v>9</v>
      </c>
      <c r="C12" s="23">
        <f>36+46</f>
        <v>82</v>
      </c>
      <c r="D12" s="23">
        <f t="shared" si="0"/>
        <v>492</v>
      </c>
      <c r="E12" s="26">
        <f t="shared" si="1"/>
        <v>185.22577061980414</v>
      </c>
      <c r="F12" s="26">
        <f t="shared" si="1"/>
        <v>1111.3546237188248</v>
      </c>
      <c r="G12" s="23">
        <f t="shared" si="3"/>
        <v>150</v>
      </c>
      <c r="H12" s="28">
        <f t="shared" si="4"/>
        <v>1.9294351106229597</v>
      </c>
      <c r="I12" s="3">
        <f t="shared" si="5"/>
        <v>1.4470763329672198</v>
      </c>
      <c r="J12" s="4">
        <v>0.1</v>
      </c>
      <c r="K12" s="3">
        <f t="shared" si="6"/>
        <v>0.14470763329672198</v>
      </c>
      <c r="L12" s="3">
        <v>0.12</v>
      </c>
      <c r="M12" s="3">
        <v>100</v>
      </c>
      <c r="N12" s="3">
        <f t="shared" si="7"/>
        <v>2222.7092474376495</v>
      </c>
      <c r="O12" s="3">
        <f t="shared" si="8"/>
        <v>2322.7092474376495</v>
      </c>
      <c r="P12" s="3">
        <f t="shared" si="9"/>
        <v>0.27872510969251796</v>
      </c>
      <c r="Q12" s="4">
        <v>0.15</v>
      </c>
      <c r="R12" s="3">
        <f t="shared" si="10"/>
        <v>0.21706144994508297</v>
      </c>
      <c r="S12" s="3">
        <f t="shared" si="11"/>
        <v>2.0875705259015427</v>
      </c>
      <c r="T12" s="5">
        <f t="shared" si="2"/>
        <v>4.2581850253523728</v>
      </c>
    </row>
    <row r="13" spans="2:20" x14ac:dyDescent="0.35">
      <c r="B13" s="23">
        <v>10</v>
      </c>
      <c r="C13" s="23">
        <v>40</v>
      </c>
      <c r="D13" s="23">
        <f t="shared" si="0"/>
        <v>240</v>
      </c>
      <c r="E13" s="26">
        <f t="shared" si="1"/>
        <v>90.354034448684942</v>
      </c>
      <c r="F13" s="26">
        <f t="shared" si="1"/>
        <v>542.12420669210962</v>
      </c>
      <c r="G13" s="23">
        <f t="shared" si="3"/>
        <v>150</v>
      </c>
      <c r="H13" s="28">
        <f t="shared" si="4"/>
        <v>0.94118785884046807</v>
      </c>
      <c r="I13" s="3">
        <f t="shared" si="5"/>
        <v>0.705890894130351</v>
      </c>
      <c r="J13" s="4">
        <v>0.1</v>
      </c>
      <c r="K13" s="3">
        <f t="shared" si="6"/>
        <v>7.05890894130351E-2</v>
      </c>
      <c r="L13" s="3">
        <v>0.12</v>
      </c>
      <c r="M13" s="3">
        <v>100</v>
      </c>
      <c r="N13" s="3">
        <f t="shared" si="7"/>
        <v>1084.2484133842192</v>
      </c>
      <c r="O13" s="3">
        <f t="shared" si="8"/>
        <v>1184.2484133842192</v>
      </c>
      <c r="P13" s="3">
        <f t="shared" si="9"/>
        <v>0.14210980960610631</v>
      </c>
      <c r="Q13" s="4">
        <v>0.15</v>
      </c>
      <c r="R13" s="3">
        <f t="shared" si="10"/>
        <v>0.10588363411955265</v>
      </c>
      <c r="S13" s="3">
        <f t="shared" si="11"/>
        <v>1.024473427269045</v>
      </c>
      <c r="T13" s="5">
        <f t="shared" si="2"/>
        <v>2.0833097684645718</v>
      </c>
    </row>
    <row r="14" spans="2:20" x14ac:dyDescent="0.35">
      <c r="B14" s="23">
        <v>11</v>
      </c>
      <c r="C14" s="23">
        <f>38+38</f>
        <v>76</v>
      </c>
      <c r="D14" s="23">
        <f t="shared" si="0"/>
        <v>456</v>
      </c>
      <c r="E14" s="26">
        <f t="shared" si="1"/>
        <v>171.67266545250141</v>
      </c>
      <c r="F14" s="26">
        <f t="shared" si="1"/>
        <v>1030.0359927150084</v>
      </c>
      <c r="G14" s="23">
        <f t="shared" si="3"/>
        <v>150</v>
      </c>
      <c r="H14" s="28">
        <f t="shared" si="4"/>
        <v>1.7882569317968897</v>
      </c>
      <c r="I14" s="3">
        <f t="shared" si="5"/>
        <v>1.3411926988476672</v>
      </c>
      <c r="J14" s="4">
        <v>0.1</v>
      </c>
      <c r="K14" s="3">
        <f t="shared" si="6"/>
        <v>0.13411926988476672</v>
      </c>
      <c r="L14" s="3">
        <v>0.12</v>
      </c>
      <c r="M14" s="3">
        <v>100</v>
      </c>
      <c r="N14" s="3">
        <f t="shared" si="7"/>
        <v>2060.0719854300169</v>
      </c>
      <c r="O14" s="3">
        <f t="shared" si="8"/>
        <v>2160.0719854300169</v>
      </c>
      <c r="P14" s="3">
        <f t="shared" si="9"/>
        <v>0.25920863825160201</v>
      </c>
      <c r="Q14" s="4">
        <v>0.15</v>
      </c>
      <c r="R14" s="3">
        <f t="shared" si="10"/>
        <v>0.20117890482715009</v>
      </c>
      <c r="S14" s="3">
        <f t="shared" si="11"/>
        <v>1.9356995118111859</v>
      </c>
      <c r="T14" s="5">
        <f t="shared" si="2"/>
        <v>3.9474885600826868</v>
      </c>
    </row>
    <row r="15" spans="2:20" x14ac:dyDescent="0.35">
      <c r="B15" s="23">
        <v>12</v>
      </c>
      <c r="C15" s="23">
        <f>40+42</f>
        <v>82</v>
      </c>
      <c r="D15" s="23">
        <f t="shared" si="0"/>
        <v>492</v>
      </c>
      <c r="E15" s="26">
        <f t="shared" si="1"/>
        <v>185.22577061980414</v>
      </c>
      <c r="F15" s="26">
        <f t="shared" si="1"/>
        <v>1111.3546237188248</v>
      </c>
      <c r="G15" s="23">
        <f t="shared" si="3"/>
        <v>150</v>
      </c>
      <c r="H15" s="28">
        <f t="shared" si="4"/>
        <v>1.9294351106229597</v>
      </c>
      <c r="I15" s="3">
        <f t="shared" si="5"/>
        <v>1.4470763329672198</v>
      </c>
      <c r="J15" s="4">
        <v>0.1</v>
      </c>
      <c r="K15" s="3">
        <f t="shared" si="6"/>
        <v>0.14470763329672198</v>
      </c>
      <c r="L15" s="3">
        <v>0.12</v>
      </c>
      <c r="M15" s="3">
        <v>100</v>
      </c>
      <c r="N15" s="3">
        <f t="shared" si="7"/>
        <v>2222.7092474376495</v>
      </c>
      <c r="O15" s="3">
        <f t="shared" si="8"/>
        <v>2322.7092474376495</v>
      </c>
      <c r="P15" s="3">
        <f t="shared" si="9"/>
        <v>0.27872510969251796</v>
      </c>
      <c r="Q15" s="4">
        <v>0.15</v>
      </c>
      <c r="R15" s="3">
        <f t="shared" si="10"/>
        <v>0.21706144994508297</v>
      </c>
      <c r="S15" s="3">
        <f t="shared" si="11"/>
        <v>2.0875705259015427</v>
      </c>
      <c r="T15" s="5">
        <f t="shared" si="2"/>
        <v>4.2581850253523728</v>
      </c>
    </row>
    <row r="16" spans="2:20" x14ac:dyDescent="0.35">
      <c r="B16" s="23">
        <v>13</v>
      </c>
      <c r="C16" s="23">
        <v>50</v>
      </c>
      <c r="D16" s="23">
        <f t="shared" si="0"/>
        <v>300</v>
      </c>
      <c r="E16" s="26">
        <f t="shared" si="1"/>
        <v>112.94254306085618</v>
      </c>
      <c r="F16" s="26">
        <f t="shared" si="1"/>
        <v>677.65525836513712</v>
      </c>
      <c r="G16" s="23">
        <f t="shared" si="3"/>
        <v>150</v>
      </c>
      <c r="H16" s="28">
        <f t="shared" si="4"/>
        <v>1.1764848235505851</v>
      </c>
      <c r="I16" s="3">
        <f t="shared" si="5"/>
        <v>0.8823636176629388</v>
      </c>
      <c r="J16" s="4">
        <v>0.1</v>
      </c>
      <c r="K16" s="3">
        <f t="shared" si="6"/>
        <v>8.8236361766293889E-2</v>
      </c>
      <c r="L16" s="3">
        <v>0.12</v>
      </c>
      <c r="M16" s="3">
        <v>100</v>
      </c>
      <c r="N16" s="3">
        <f t="shared" si="7"/>
        <v>1355.3105167302742</v>
      </c>
      <c r="O16" s="3">
        <f t="shared" si="8"/>
        <v>1455.3105167302742</v>
      </c>
      <c r="P16" s="3">
        <f t="shared" si="9"/>
        <v>0.17463726200763291</v>
      </c>
      <c r="Q16" s="4">
        <v>0.15</v>
      </c>
      <c r="R16" s="3">
        <f t="shared" si="10"/>
        <v>0.13235454264944083</v>
      </c>
      <c r="S16" s="3">
        <f t="shared" si="11"/>
        <v>1.2775917840863065</v>
      </c>
      <c r="T16" s="5">
        <f t="shared" si="2"/>
        <v>2.6011372105807151</v>
      </c>
    </row>
    <row r="17" spans="2:20" x14ac:dyDescent="0.35">
      <c r="B17" s="23">
        <v>14</v>
      </c>
      <c r="C17" s="23">
        <f>52+48</f>
        <v>100</v>
      </c>
      <c r="D17" s="23">
        <f t="shared" si="0"/>
        <v>600</v>
      </c>
      <c r="E17" s="26">
        <f t="shared" si="1"/>
        <v>225.88508612171236</v>
      </c>
      <c r="F17" s="26">
        <f t="shared" si="1"/>
        <v>1355.3105167302742</v>
      </c>
      <c r="G17" s="23">
        <f t="shared" si="3"/>
        <v>150</v>
      </c>
      <c r="H17" s="28">
        <f t="shared" si="4"/>
        <v>2.3529696471011703</v>
      </c>
      <c r="I17" s="3">
        <f t="shared" si="5"/>
        <v>1.7647272353258776</v>
      </c>
      <c r="J17" s="4">
        <v>0.1</v>
      </c>
      <c r="K17" s="3">
        <f t="shared" si="6"/>
        <v>0.17647272353258778</v>
      </c>
      <c r="L17" s="3">
        <v>0.12</v>
      </c>
      <c r="M17" s="3">
        <v>100</v>
      </c>
      <c r="N17" s="3">
        <f t="shared" si="7"/>
        <v>2710.6210334605485</v>
      </c>
      <c r="O17" s="3">
        <f t="shared" si="8"/>
        <v>2810.6210334605485</v>
      </c>
      <c r="P17" s="3">
        <f t="shared" si="9"/>
        <v>0.33727452401526581</v>
      </c>
      <c r="Q17" s="4">
        <v>0.15</v>
      </c>
      <c r="R17" s="3">
        <f t="shared" si="10"/>
        <v>0.26470908529888165</v>
      </c>
      <c r="S17" s="3">
        <f t="shared" si="11"/>
        <v>2.5431835681726129</v>
      </c>
      <c r="T17" s="5">
        <f t="shared" si="2"/>
        <v>5.1902744211614298</v>
      </c>
    </row>
    <row r="18" spans="2:20" x14ac:dyDescent="0.35">
      <c r="B18" s="23">
        <v>15</v>
      </c>
      <c r="C18" s="23">
        <v>36</v>
      </c>
      <c r="D18" s="23">
        <f t="shared" si="0"/>
        <v>216</v>
      </c>
      <c r="E18" s="26">
        <f t="shared" si="1"/>
        <v>81.318631003816449</v>
      </c>
      <c r="F18" s="26">
        <f t="shared" si="1"/>
        <v>487.9117860228987</v>
      </c>
      <c r="G18" s="23">
        <f t="shared" si="3"/>
        <v>150</v>
      </c>
      <c r="H18" s="28">
        <f t="shared" si="4"/>
        <v>0.84706907295642142</v>
      </c>
      <c r="I18" s="3">
        <f t="shared" si="5"/>
        <v>0.63530180471731601</v>
      </c>
      <c r="J18" s="4">
        <v>0.1</v>
      </c>
      <c r="K18" s="3">
        <f t="shared" si="6"/>
        <v>6.3530180471731604E-2</v>
      </c>
      <c r="L18" s="3">
        <v>0.12</v>
      </c>
      <c r="M18" s="3">
        <v>100</v>
      </c>
      <c r="N18" s="3">
        <f t="shared" si="7"/>
        <v>975.82357204579739</v>
      </c>
      <c r="O18" s="3">
        <f t="shared" si="8"/>
        <v>1075.8235720457974</v>
      </c>
      <c r="P18" s="3">
        <f t="shared" si="9"/>
        <v>0.12909882864549568</v>
      </c>
      <c r="Q18" s="4">
        <v>0.15</v>
      </c>
      <c r="R18" s="3">
        <f t="shared" si="10"/>
        <v>9.5295270707597399E-2</v>
      </c>
      <c r="S18" s="3">
        <f t="shared" si="11"/>
        <v>0.92322608454214072</v>
      </c>
      <c r="T18" s="5">
        <f t="shared" si="2"/>
        <v>1.8761787916181147</v>
      </c>
    </row>
    <row r="19" spans="2:20" x14ac:dyDescent="0.35">
      <c r="B19" s="23">
        <v>16</v>
      </c>
      <c r="C19" s="23">
        <v>42</v>
      </c>
      <c r="D19" s="23">
        <f t="shared" si="0"/>
        <v>252</v>
      </c>
      <c r="E19" s="26">
        <f t="shared" si="1"/>
        <v>94.871736171119196</v>
      </c>
      <c r="F19" s="26">
        <f t="shared" si="1"/>
        <v>569.23041702671514</v>
      </c>
      <c r="G19" s="23">
        <f t="shared" si="3"/>
        <v>150</v>
      </c>
      <c r="H19" s="28">
        <f t="shared" si="4"/>
        <v>0.98824725178249151</v>
      </c>
      <c r="I19" s="3">
        <f t="shared" si="5"/>
        <v>0.7411854388368686</v>
      </c>
      <c r="J19" s="4">
        <v>0.1</v>
      </c>
      <c r="K19" s="3">
        <f t="shared" si="6"/>
        <v>7.4118543883686869E-2</v>
      </c>
      <c r="L19" s="3">
        <v>0.12</v>
      </c>
      <c r="M19" s="3">
        <v>100</v>
      </c>
      <c r="N19" s="3">
        <f t="shared" si="7"/>
        <v>1138.4608340534303</v>
      </c>
      <c r="O19" s="3">
        <f t="shared" si="8"/>
        <v>1238.4608340534303</v>
      </c>
      <c r="P19" s="3">
        <f t="shared" si="9"/>
        <v>0.14861530008641163</v>
      </c>
      <c r="Q19" s="4">
        <v>0.15</v>
      </c>
      <c r="R19" s="3">
        <f t="shared" si="10"/>
        <v>0.11117781582553028</v>
      </c>
      <c r="S19" s="3">
        <f t="shared" si="11"/>
        <v>1.0750970986324975</v>
      </c>
      <c r="T19" s="5">
        <f t="shared" si="2"/>
        <v>2.1868752568878005</v>
      </c>
    </row>
    <row r="20" spans="2:20" x14ac:dyDescent="0.35">
      <c r="B20" s="23">
        <v>17</v>
      </c>
      <c r="C20" s="23">
        <v>15</v>
      </c>
      <c r="D20" s="23">
        <f t="shared" si="0"/>
        <v>90</v>
      </c>
      <c r="E20" s="26">
        <f t="shared" si="1"/>
        <v>33.882762918256851</v>
      </c>
      <c r="F20" s="26">
        <f t="shared" si="1"/>
        <v>203.29657750954112</v>
      </c>
      <c r="G20" s="23">
        <f t="shared" si="3"/>
        <v>150</v>
      </c>
      <c r="H20" s="28">
        <f t="shared" si="4"/>
        <v>0.35294544706517555</v>
      </c>
      <c r="I20" s="3">
        <f t="shared" si="5"/>
        <v>0.26470908529888165</v>
      </c>
      <c r="J20" s="4">
        <v>0.1</v>
      </c>
      <c r="K20" s="3">
        <f t="shared" si="6"/>
        <v>2.6470908529888166E-2</v>
      </c>
      <c r="L20" s="3">
        <v>0.16</v>
      </c>
      <c r="M20" s="3">
        <v>100</v>
      </c>
      <c r="N20" s="3">
        <f t="shared" si="7"/>
        <v>406.59315501908225</v>
      </c>
      <c r="O20" s="3">
        <f t="shared" si="8"/>
        <v>506.59315501908225</v>
      </c>
      <c r="P20" s="3">
        <f t="shared" si="9"/>
        <v>8.1054904803053163E-2</v>
      </c>
      <c r="Q20" s="4">
        <v>0.15</v>
      </c>
      <c r="R20" s="3">
        <f t="shared" si="10"/>
        <v>3.9706362794832244E-2</v>
      </c>
      <c r="S20" s="3">
        <f t="shared" si="11"/>
        <v>0.41194126142665521</v>
      </c>
      <c r="T20" s="5">
        <f t="shared" si="2"/>
        <v>0.80900488937497772</v>
      </c>
    </row>
    <row r="21" spans="2:20" ht="15" thickBot="1" x14ac:dyDescent="0.4">
      <c r="B21" s="24">
        <v>18</v>
      </c>
      <c r="C21" s="24">
        <v>15</v>
      </c>
      <c r="D21" s="24">
        <f t="shared" si="0"/>
        <v>90</v>
      </c>
      <c r="E21" s="27">
        <f t="shared" si="1"/>
        <v>33.882762918256851</v>
      </c>
      <c r="F21" s="27">
        <f t="shared" si="1"/>
        <v>203.29657750954112</v>
      </c>
      <c r="G21" s="24">
        <f t="shared" si="3"/>
        <v>150</v>
      </c>
      <c r="H21" s="28">
        <f t="shared" si="4"/>
        <v>0.35294544706517555</v>
      </c>
      <c r="I21" s="3">
        <f t="shared" si="5"/>
        <v>0.26470908529888165</v>
      </c>
      <c r="J21" s="4">
        <v>0.1</v>
      </c>
      <c r="K21" s="3">
        <f t="shared" si="6"/>
        <v>2.6470908529888166E-2</v>
      </c>
      <c r="L21" s="3">
        <v>0.16</v>
      </c>
      <c r="M21" s="3">
        <v>100</v>
      </c>
      <c r="N21" s="3">
        <f t="shared" si="7"/>
        <v>406.59315501908225</v>
      </c>
      <c r="O21" s="3">
        <f t="shared" si="8"/>
        <v>506.59315501908225</v>
      </c>
      <c r="P21" s="3">
        <f t="shared" si="9"/>
        <v>8.1054904803053163E-2</v>
      </c>
      <c r="Q21" s="4">
        <v>0.15</v>
      </c>
      <c r="R21" s="3">
        <f t="shared" si="10"/>
        <v>3.9706362794832244E-2</v>
      </c>
      <c r="S21" s="3">
        <f t="shared" si="11"/>
        <v>0.41194126142665521</v>
      </c>
      <c r="T21" s="5">
        <f t="shared" si="2"/>
        <v>0.80900488937497772</v>
      </c>
    </row>
    <row r="22" spans="2:20" x14ac:dyDescent="0.35">
      <c r="T22" s="11">
        <f>SUM(T4:T21)</f>
        <v>51.314313245053228</v>
      </c>
    </row>
    <row r="29" spans="2:20" ht="15" thickBot="1" x14ac:dyDescent="0.4"/>
    <row r="30" spans="2:20" ht="15" thickBot="1" x14ac:dyDescent="0.4">
      <c r="B30" s="109"/>
      <c r="C30" s="110"/>
      <c r="D30" s="110"/>
      <c r="E30" s="110"/>
      <c r="F30" s="110"/>
      <c r="G30" s="111"/>
      <c r="T30" s="6">
        <f>SUM(T4:T22)</f>
        <v>102.62862649010646</v>
      </c>
    </row>
    <row r="31" spans="2:20" ht="7.75" customHeight="1" thickBot="1" x14ac:dyDescent="0.4">
      <c r="B31" s="112"/>
      <c r="C31" s="112"/>
      <c r="D31" s="112"/>
      <c r="E31" s="112"/>
      <c r="F31" s="112"/>
      <c r="G31" s="112"/>
    </row>
    <row r="32" spans="2:20" x14ac:dyDescent="0.35">
      <c r="B32" s="13" t="s">
        <v>19</v>
      </c>
      <c r="C32" s="113" t="s">
        <v>20</v>
      </c>
      <c r="D32" s="114"/>
      <c r="E32" s="115"/>
      <c r="F32" s="14" t="s">
        <v>21</v>
      </c>
      <c r="G32" s="15" t="s">
        <v>22</v>
      </c>
    </row>
    <row r="33" spans="2:7" x14ac:dyDescent="0.35">
      <c r="B33" s="16">
        <v>1</v>
      </c>
      <c r="C33" s="106" t="s">
        <v>23</v>
      </c>
      <c r="D33" s="107"/>
      <c r="E33" s="108"/>
      <c r="F33" s="8">
        <v>0.75</v>
      </c>
      <c r="G33" s="17" t="s">
        <v>24</v>
      </c>
    </row>
    <row r="34" spans="2:7" x14ac:dyDescent="0.35">
      <c r="B34" s="16">
        <v>2</v>
      </c>
      <c r="C34" s="106" t="s">
        <v>25</v>
      </c>
      <c r="D34" s="107"/>
      <c r="E34" s="108"/>
      <c r="F34" s="7">
        <v>2.5</v>
      </c>
      <c r="G34" s="17"/>
    </row>
    <row r="35" spans="2:7" x14ac:dyDescent="0.35">
      <c r="B35" s="16">
        <v>3</v>
      </c>
      <c r="C35" s="106" t="s">
        <v>26</v>
      </c>
      <c r="D35" s="107"/>
      <c r="E35" s="108"/>
      <c r="F35" s="7">
        <v>6</v>
      </c>
      <c r="G35" s="17" t="s">
        <v>27</v>
      </c>
    </row>
    <row r="36" spans="2:7" x14ac:dyDescent="0.35">
      <c r="B36" s="16">
        <v>4</v>
      </c>
      <c r="C36" s="106" t="s">
        <v>28</v>
      </c>
      <c r="D36" s="107"/>
      <c r="E36" s="108"/>
      <c r="F36" s="7">
        <v>33</v>
      </c>
      <c r="G36" s="17" t="s">
        <v>29</v>
      </c>
    </row>
    <row r="37" spans="2:7" x14ac:dyDescent="0.35">
      <c r="B37" s="16">
        <v>5</v>
      </c>
      <c r="C37" s="106" t="s">
        <v>30</v>
      </c>
      <c r="D37" s="107"/>
      <c r="E37" s="108"/>
      <c r="F37" s="9">
        <v>2.5</v>
      </c>
      <c r="G37" s="17" t="s">
        <v>24</v>
      </c>
    </row>
    <row r="38" spans="2:7" x14ac:dyDescent="0.35">
      <c r="B38" s="16">
        <v>6</v>
      </c>
      <c r="C38" s="106" t="s">
        <v>31</v>
      </c>
      <c r="D38" s="107"/>
      <c r="E38" s="108"/>
      <c r="F38" s="7">
        <f>(POWER(((F37/100)+1),F36))</f>
        <v>2.2588508612171236</v>
      </c>
      <c r="G38" s="17"/>
    </row>
    <row r="39" spans="2:7" x14ac:dyDescent="0.35">
      <c r="B39" s="16">
        <v>7</v>
      </c>
      <c r="C39" s="116" t="s">
        <v>32</v>
      </c>
      <c r="D39" s="116"/>
      <c r="E39" s="116"/>
      <c r="F39" s="7">
        <v>12</v>
      </c>
      <c r="G39" s="17" t="s">
        <v>33</v>
      </c>
    </row>
    <row r="40" spans="2:7" ht="15" thickBot="1" x14ac:dyDescent="0.4">
      <c r="B40" s="18">
        <v>8</v>
      </c>
      <c r="C40" s="117" t="s">
        <v>34</v>
      </c>
      <c r="D40" s="117"/>
      <c r="E40" s="117"/>
      <c r="F40" s="19">
        <v>150</v>
      </c>
      <c r="G40" s="20" t="s">
        <v>35</v>
      </c>
    </row>
    <row r="41" spans="2:7" x14ac:dyDescent="0.35">
      <c r="D41" s="10"/>
    </row>
    <row r="42" spans="2:7" x14ac:dyDescent="0.35">
      <c r="D42" s="10"/>
    </row>
  </sheetData>
  <mergeCells count="11">
    <mergeCell ref="C36:E36"/>
    <mergeCell ref="C37:E37"/>
    <mergeCell ref="C38:E38"/>
    <mergeCell ref="C39:E39"/>
    <mergeCell ref="C40:E40"/>
    <mergeCell ref="C35:E35"/>
    <mergeCell ref="B30:G30"/>
    <mergeCell ref="B31:G31"/>
    <mergeCell ref="C32:E32"/>
    <mergeCell ref="C33:E33"/>
    <mergeCell ref="C34:E34"/>
  </mergeCells>
  <pageMargins left="0.7" right="0.7" top="0.75" bottom="0.75" header="0.3" footer="0.3"/>
  <pageSetup paperSize="5" scale="30" fitToWidth="0" orientation="landscape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E79454-1685-4AB5-8F59-7D824C5CF7CC}">
  <sheetPr>
    <tabColor rgb="FF00FF00"/>
    <pageSetUpPr fitToPage="1"/>
  </sheetPr>
  <dimension ref="A3:JS47"/>
  <sheetViews>
    <sheetView view="pageLayout" topLeftCell="A17" zoomScale="69" zoomScaleNormal="70" zoomScalePageLayoutView="69" workbookViewId="0">
      <selection activeCell="Y25" sqref="Y25"/>
    </sheetView>
  </sheetViews>
  <sheetFormatPr baseColWidth="10" defaultColWidth="11.453125" defaultRowHeight="14.5" x14ac:dyDescent="0.35"/>
  <cols>
    <col min="1" max="1" width="23.90625" customWidth="1"/>
    <col min="2" max="2" width="21.54296875" customWidth="1"/>
    <col min="3" max="3" width="25.81640625" customWidth="1"/>
    <col min="4" max="4" width="22.90625" customWidth="1"/>
    <col min="5" max="5" width="24.6328125" customWidth="1"/>
    <col min="6" max="6" width="21.54296875" customWidth="1"/>
    <col min="7" max="7" width="21.6328125" customWidth="1"/>
    <col min="8" max="8" width="31.08984375" customWidth="1"/>
    <col min="9" max="9" width="21.453125" customWidth="1"/>
    <col min="10" max="10" width="25.36328125" customWidth="1"/>
    <col min="11" max="11" width="21.08984375" customWidth="1"/>
    <col min="12" max="12" width="22.54296875" customWidth="1"/>
    <col min="13" max="13" width="17.90625" hidden="1" customWidth="1"/>
    <col min="14" max="14" width="18.08984375" customWidth="1"/>
    <col min="15" max="15" width="21.36328125" customWidth="1"/>
    <col min="16" max="16" width="24.81640625" customWidth="1"/>
    <col min="17" max="17" width="26.90625" customWidth="1"/>
    <col min="18" max="18" width="22.1796875" style="33" customWidth="1"/>
    <col min="19" max="19" width="23.36328125" bestFit="1" customWidth="1"/>
    <col min="20" max="20" width="18.36328125" customWidth="1"/>
    <col min="21" max="22" width="14" bestFit="1" customWidth="1"/>
    <col min="23" max="23" width="27" customWidth="1"/>
    <col min="24" max="24" width="24.36328125" customWidth="1"/>
    <col min="25" max="25" width="26.81640625" customWidth="1"/>
    <col min="26" max="26" width="12.36328125" bestFit="1" customWidth="1"/>
    <col min="30" max="30" width="41" customWidth="1"/>
    <col min="32" max="32" width="28.453125" customWidth="1"/>
  </cols>
  <sheetData>
    <row r="3" spans="1:279" ht="29" x14ac:dyDescent="0.4">
      <c r="B3" s="118" t="s">
        <v>36</v>
      </c>
      <c r="C3" s="118"/>
      <c r="D3" s="118"/>
      <c r="E3" s="118"/>
      <c r="F3" s="118"/>
      <c r="G3" s="118"/>
      <c r="H3" s="118"/>
      <c r="I3" s="118"/>
      <c r="J3" s="118"/>
      <c r="K3" s="118"/>
      <c r="L3" s="118"/>
      <c r="M3" s="118"/>
      <c r="N3" s="118"/>
      <c r="Q3" s="33"/>
    </row>
    <row r="4" spans="1:279" ht="26" x14ac:dyDescent="0.6">
      <c r="B4" s="34"/>
      <c r="C4" s="34"/>
      <c r="D4" s="34"/>
      <c r="E4" s="34"/>
      <c r="F4" s="34"/>
      <c r="G4" s="34"/>
      <c r="H4" s="34"/>
      <c r="I4" s="34"/>
      <c r="J4" s="34"/>
      <c r="K4" s="35" t="s">
        <v>67</v>
      </c>
      <c r="L4" s="34"/>
      <c r="M4" s="34"/>
      <c r="N4" s="34"/>
      <c r="O4" s="34"/>
      <c r="P4" s="34"/>
      <c r="Q4" s="34"/>
    </row>
    <row r="5" spans="1:279" ht="19" x14ac:dyDescent="0.65">
      <c r="A5" s="60">
        <v>1</v>
      </c>
      <c r="B5" s="60">
        <v>2</v>
      </c>
      <c r="C5" s="60">
        <v>3</v>
      </c>
      <c r="D5" s="60">
        <v>4</v>
      </c>
      <c r="E5" s="60">
        <v>5</v>
      </c>
      <c r="F5" s="60">
        <v>6</v>
      </c>
      <c r="G5" s="60"/>
      <c r="H5" s="60"/>
      <c r="I5" s="60">
        <v>7</v>
      </c>
      <c r="J5" s="60"/>
      <c r="K5" s="60">
        <v>9</v>
      </c>
      <c r="L5" s="60"/>
      <c r="M5" s="60"/>
      <c r="N5" s="60">
        <v>8</v>
      </c>
      <c r="O5" s="60"/>
      <c r="P5" s="60"/>
      <c r="Q5" s="60"/>
      <c r="R5" s="61"/>
      <c r="S5" s="60"/>
      <c r="T5" s="60"/>
      <c r="U5" s="60"/>
      <c r="V5" s="60"/>
      <c r="W5" s="60"/>
      <c r="X5" s="60"/>
      <c r="Y5" s="60"/>
      <c r="Z5" s="36"/>
    </row>
    <row r="6" spans="1:279" x14ac:dyDescent="0.35">
      <c r="A6" s="119" t="s">
        <v>37</v>
      </c>
      <c r="B6" s="119"/>
      <c r="C6" s="119"/>
      <c r="D6" s="119"/>
      <c r="E6" s="120" t="s">
        <v>38</v>
      </c>
      <c r="F6" s="120"/>
      <c r="G6" s="120"/>
      <c r="H6" s="63"/>
      <c r="I6" s="121" t="s">
        <v>39</v>
      </c>
      <c r="J6" s="121" t="s">
        <v>40</v>
      </c>
      <c r="K6" s="121" t="s">
        <v>41</v>
      </c>
      <c r="L6" s="121" t="s">
        <v>42</v>
      </c>
      <c r="M6" s="121" t="s">
        <v>43</v>
      </c>
      <c r="N6" s="121" t="s">
        <v>44</v>
      </c>
      <c r="O6" s="121" t="s">
        <v>45</v>
      </c>
      <c r="P6" s="121" t="s">
        <v>46</v>
      </c>
      <c r="Q6" s="121" t="s">
        <v>47</v>
      </c>
      <c r="R6" s="123" t="s">
        <v>48</v>
      </c>
      <c r="S6" s="123"/>
      <c r="T6" s="123"/>
      <c r="U6" s="121" t="s">
        <v>49</v>
      </c>
      <c r="V6" s="121" t="s">
        <v>50</v>
      </c>
      <c r="W6" s="121" t="s">
        <v>51</v>
      </c>
      <c r="X6" s="121" t="s">
        <v>52</v>
      </c>
      <c r="Y6" s="122" t="s">
        <v>53</v>
      </c>
    </row>
    <row r="7" spans="1:279" s="37" customFormat="1" ht="28" x14ac:dyDescent="0.45">
      <c r="A7" s="32" t="s">
        <v>54</v>
      </c>
      <c r="B7" s="32" t="s">
        <v>55</v>
      </c>
      <c r="C7" s="32" t="s">
        <v>56</v>
      </c>
      <c r="D7" s="32" t="s">
        <v>57</v>
      </c>
      <c r="E7" s="62" t="s">
        <v>54</v>
      </c>
      <c r="F7" s="62" t="s">
        <v>55</v>
      </c>
      <c r="G7" s="62" t="s">
        <v>58</v>
      </c>
      <c r="H7" s="63" t="s">
        <v>59</v>
      </c>
      <c r="I7" s="121"/>
      <c r="J7" s="121"/>
      <c r="K7" s="121"/>
      <c r="L7" s="121"/>
      <c r="M7" s="121"/>
      <c r="N7" s="121"/>
      <c r="O7" s="121"/>
      <c r="P7" s="121"/>
      <c r="Q7" s="121"/>
      <c r="R7" s="64" t="s">
        <v>60</v>
      </c>
      <c r="S7" s="65" t="s">
        <v>61</v>
      </c>
      <c r="T7" s="65" t="s">
        <v>39</v>
      </c>
      <c r="U7" s="121"/>
      <c r="V7" s="121"/>
      <c r="W7" s="121"/>
      <c r="X7" s="121"/>
      <c r="Y7" s="122"/>
    </row>
    <row r="8" spans="1:279" s="39" customFormat="1" ht="23" x14ac:dyDescent="0.35">
      <c r="A8" s="66">
        <v>1</v>
      </c>
      <c r="B8" s="29">
        <v>159</v>
      </c>
      <c r="C8" s="30">
        <v>1.4</v>
      </c>
      <c r="D8" s="29">
        <f>B8-C8</f>
        <v>157.6</v>
      </c>
      <c r="E8" s="66">
        <v>4</v>
      </c>
      <c r="F8" s="67">
        <v>155.5</v>
      </c>
      <c r="G8" s="68">
        <f>+D8-L8</f>
        <v>154.1</v>
      </c>
      <c r="H8" s="68">
        <f t="shared" ref="H8:H12" si="0">+F8-G8</f>
        <v>1.4000000000000057</v>
      </c>
      <c r="I8" s="68">
        <v>3.22</v>
      </c>
      <c r="J8" s="69">
        <f>((B8-F8)/N8)</f>
        <v>3.5000000000000003E-2</v>
      </c>
      <c r="K8" s="70">
        <f>J8</f>
        <v>3.5000000000000003E-2</v>
      </c>
      <c r="L8" s="68">
        <f>((K8*N8))</f>
        <v>3.5000000000000004</v>
      </c>
      <c r="M8" s="68" t="e">
        <f>+#REF!</f>
        <v>#REF!</v>
      </c>
      <c r="N8" s="68">
        <v>100</v>
      </c>
      <c r="O8" s="71" t="s">
        <v>62</v>
      </c>
      <c r="P8" s="72">
        <v>0.01</v>
      </c>
      <c r="Q8" s="30">
        <v>6</v>
      </c>
      <c r="R8" s="68">
        <f>((Q8*0.0254)/4)</f>
        <v>3.8099999999999995E-2</v>
      </c>
      <c r="S8" s="68">
        <f>((1/P8)*(POWER(R8,(2/3)))*(POWER(K8,0.5)))</f>
        <v>2.1182831224423677</v>
      </c>
      <c r="T8" s="68">
        <f>((3.141598*(POWER((Q8*0.0254),2))/4)*S8)*1000</f>
        <v>38.640662194707026</v>
      </c>
      <c r="U8" s="68">
        <f>I8/T8</f>
        <v>8.3331905229126063E-2</v>
      </c>
      <c r="V8" s="68">
        <v>0.19</v>
      </c>
      <c r="W8" s="68">
        <f t="shared" ref="W8:W14" si="1">V8*Q8</f>
        <v>1.1400000000000001</v>
      </c>
      <c r="X8" s="73">
        <v>0.55000000000000004</v>
      </c>
      <c r="Y8" s="73">
        <f t="shared" ref="Y8:Y14" si="2">X8*S8</f>
        <v>1.1650557173433023</v>
      </c>
      <c r="Z8" s="38"/>
      <c r="AD8" s="40"/>
      <c r="AF8" s="41"/>
    </row>
    <row r="9" spans="1:279" s="39" customFormat="1" ht="23" x14ac:dyDescent="0.35">
      <c r="A9" s="66">
        <v>1</v>
      </c>
      <c r="B9" s="29">
        <f>B8</f>
        <v>159</v>
      </c>
      <c r="C9" s="29">
        <v>1.35</v>
      </c>
      <c r="D9" s="29">
        <f>+B9-C9</f>
        <v>157.65</v>
      </c>
      <c r="E9" s="66">
        <v>2</v>
      </c>
      <c r="F9" s="67">
        <v>158</v>
      </c>
      <c r="G9" s="68">
        <f t="shared" ref="G9:G12" si="3">+D9-L9</f>
        <v>156.65</v>
      </c>
      <c r="H9" s="68">
        <f>+F9-G9</f>
        <v>1.3499999999999943</v>
      </c>
      <c r="I9" s="68">
        <v>2.08</v>
      </c>
      <c r="J9" s="69">
        <f t="shared" ref="J9:J14" si="4">((B9-F9)/N9)</f>
        <v>0.01</v>
      </c>
      <c r="K9" s="70">
        <v>0.01</v>
      </c>
      <c r="L9" s="68">
        <f t="shared" ref="L9:L14" si="5">((K9*N9))</f>
        <v>1</v>
      </c>
      <c r="M9" s="68" t="e">
        <f>+#REF!</f>
        <v>#REF!</v>
      </c>
      <c r="N9" s="68">
        <v>100</v>
      </c>
      <c r="O9" s="71" t="s">
        <v>62</v>
      </c>
      <c r="P9" s="72">
        <v>0.01</v>
      </c>
      <c r="Q9" s="68">
        <v>6</v>
      </c>
      <c r="R9" s="68">
        <f t="shared" ref="R9:R14" si="6">((Q9*0.0254)/4)</f>
        <v>3.8099999999999995E-2</v>
      </c>
      <c r="S9" s="68">
        <f t="shared" ref="S9:S14" si="7">((1/P9)*(POWER(R9,(2/3)))*(POWER(K9,0.5)))</f>
        <v>1.1322699560521508</v>
      </c>
      <c r="T9" s="68">
        <f t="shared" ref="T9:T14" si="8">((3.141598*(POWER((Q9*0.0254),2))/4)*S9)*1000</f>
        <v>20.654302732951734</v>
      </c>
      <c r="U9" s="68">
        <f>I9/T9</f>
        <v>0.10070540879027508</v>
      </c>
      <c r="V9" s="68">
        <v>0.22</v>
      </c>
      <c r="W9" s="68">
        <f t="shared" si="1"/>
        <v>1.32</v>
      </c>
      <c r="X9" s="73">
        <v>0.6</v>
      </c>
      <c r="Y9" s="73">
        <f t="shared" si="2"/>
        <v>0.67936197363129047</v>
      </c>
      <c r="Z9" s="38"/>
      <c r="AD9" s="40"/>
      <c r="AF9" s="41"/>
    </row>
    <row r="10" spans="1:279" s="39" customFormat="1" ht="23" x14ac:dyDescent="0.35">
      <c r="A10" s="66">
        <v>2</v>
      </c>
      <c r="B10" s="29">
        <f>F9</f>
        <v>158</v>
      </c>
      <c r="C10" s="29">
        <f>B10-D10</f>
        <v>1.4799999999999898</v>
      </c>
      <c r="D10" s="30">
        <f>G9-0.13</f>
        <v>156.52000000000001</v>
      </c>
      <c r="E10" s="66">
        <v>5</v>
      </c>
      <c r="F10" s="67">
        <v>154</v>
      </c>
      <c r="G10" s="68">
        <f t="shared" si="3"/>
        <v>152.52000000000001</v>
      </c>
      <c r="H10" s="68">
        <f t="shared" si="0"/>
        <v>1.4799999999999898</v>
      </c>
      <c r="I10" s="68">
        <v>6.44</v>
      </c>
      <c r="J10" s="69">
        <f t="shared" si="4"/>
        <v>0.04</v>
      </c>
      <c r="K10" s="70">
        <v>0.04</v>
      </c>
      <c r="L10" s="68">
        <f>((K10*N10))</f>
        <v>4</v>
      </c>
      <c r="M10" s="68" t="e">
        <f>+#REF!</f>
        <v>#REF!</v>
      </c>
      <c r="N10" s="68">
        <v>100</v>
      </c>
      <c r="O10" s="71" t="s">
        <v>62</v>
      </c>
      <c r="P10" s="72">
        <v>0.01</v>
      </c>
      <c r="Q10" s="68">
        <v>6</v>
      </c>
      <c r="R10" s="68">
        <f t="shared" si="6"/>
        <v>3.8099999999999995E-2</v>
      </c>
      <c r="S10" s="68">
        <f t="shared" si="7"/>
        <v>2.2645399121043015</v>
      </c>
      <c r="T10" s="68">
        <f t="shared" si="8"/>
        <v>41.308605465903469</v>
      </c>
      <c r="U10" s="68">
        <f t="shared" ref="U10" si="9">I10/T10</f>
        <v>0.15589971937725275</v>
      </c>
      <c r="V10" s="68">
        <v>0.28000000000000003</v>
      </c>
      <c r="W10" s="68">
        <f t="shared" si="1"/>
        <v>1.6800000000000002</v>
      </c>
      <c r="X10" s="73">
        <v>0.7</v>
      </c>
      <c r="Y10" s="73">
        <f>X10*S10</f>
        <v>1.5851779384730109</v>
      </c>
      <c r="Z10" s="42">
        <f>((Y10)^2)/(2*9.81)</f>
        <v>0.12807283876766282</v>
      </c>
      <c r="AD10" s="40"/>
      <c r="AF10" s="41"/>
    </row>
    <row r="11" spans="1:279" s="39" customFormat="1" ht="23" x14ac:dyDescent="0.35">
      <c r="A11" s="66">
        <v>2</v>
      </c>
      <c r="B11" s="29">
        <f>B10</f>
        <v>158</v>
      </c>
      <c r="C11" s="29">
        <v>1.35</v>
      </c>
      <c r="D11" s="29">
        <f>B11-C11</f>
        <v>156.65</v>
      </c>
      <c r="E11" s="66">
        <v>3</v>
      </c>
      <c r="F11" s="67">
        <v>157</v>
      </c>
      <c r="G11" s="68">
        <f t="shared" si="3"/>
        <v>155.65</v>
      </c>
      <c r="H11" s="68">
        <f t="shared" si="0"/>
        <v>1.3499999999999943</v>
      </c>
      <c r="I11" s="68">
        <v>1.98</v>
      </c>
      <c r="J11" s="69">
        <f t="shared" si="4"/>
        <v>0.01</v>
      </c>
      <c r="K11" s="70">
        <v>0.01</v>
      </c>
      <c r="L11" s="68">
        <f t="shared" si="5"/>
        <v>1</v>
      </c>
      <c r="M11" s="68" t="e">
        <f>+#REF!</f>
        <v>#REF!</v>
      </c>
      <c r="N11" s="68">
        <v>100</v>
      </c>
      <c r="O11" s="71" t="s">
        <v>62</v>
      </c>
      <c r="P11" s="72">
        <v>0.01</v>
      </c>
      <c r="Q11" s="68">
        <v>6</v>
      </c>
      <c r="R11" s="68">
        <f t="shared" si="6"/>
        <v>3.8099999999999995E-2</v>
      </c>
      <c r="S11" s="68">
        <f t="shared" si="7"/>
        <v>1.1322699560521508</v>
      </c>
      <c r="T11" s="68">
        <f t="shared" si="8"/>
        <v>20.654302732951734</v>
      </c>
      <c r="U11" s="68">
        <f>I11/T11</f>
        <v>9.5863802598434925E-2</v>
      </c>
      <c r="V11" s="68">
        <v>0.22</v>
      </c>
      <c r="W11" s="68">
        <f>V11*Q11</f>
        <v>1.32</v>
      </c>
      <c r="X11" s="73">
        <v>0.6</v>
      </c>
      <c r="Y11" s="73">
        <f t="shared" si="2"/>
        <v>0.67936197363129047</v>
      </c>
      <c r="Z11" s="38"/>
      <c r="AD11" s="40"/>
      <c r="AF11" s="41"/>
    </row>
    <row r="12" spans="1:279" s="43" customFormat="1" ht="23" x14ac:dyDescent="0.35">
      <c r="A12" s="66">
        <v>3</v>
      </c>
      <c r="B12" s="29">
        <f>F11</f>
        <v>157</v>
      </c>
      <c r="C12" s="29">
        <f>B12-D12</f>
        <v>1.4199999999999875</v>
      </c>
      <c r="D12" s="29">
        <f>G11-0.07</f>
        <v>155.58000000000001</v>
      </c>
      <c r="E12" s="66">
        <v>6</v>
      </c>
      <c r="F12" s="67">
        <v>153.5</v>
      </c>
      <c r="G12" s="68">
        <f t="shared" si="3"/>
        <v>152.08000000000001</v>
      </c>
      <c r="H12" s="68">
        <f t="shared" si="0"/>
        <v>1.4199999999999875</v>
      </c>
      <c r="I12" s="68">
        <v>3.34</v>
      </c>
      <c r="J12" s="69">
        <f t="shared" si="4"/>
        <v>3.5000000000000003E-2</v>
      </c>
      <c r="K12" s="70">
        <v>3.5000000000000003E-2</v>
      </c>
      <c r="L12" s="68">
        <f t="shared" si="5"/>
        <v>3.5000000000000004</v>
      </c>
      <c r="M12" s="68" t="e">
        <f>+#REF!</f>
        <v>#REF!</v>
      </c>
      <c r="N12" s="68">
        <v>100</v>
      </c>
      <c r="O12" s="71" t="s">
        <v>62</v>
      </c>
      <c r="P12" s="72">
        <v>0.01</v>
      </c>
      <c r="Q12" s="68">
        <v>6</v>
      </c>
      <c r="R12" s="68">
        <f t="shared" si="6"/>
        <v>3.8099999999999995E-2</v>
      </c>
      <c r="S12" s="68">
        <f t="shared" si="7"/>
        <v>2.1182831224423677</v>
      </c>
      <c r="T12" s="68">
        <f t="shared" si="8"/>
        <v>38.640662194707026</v>
      </c>
      <c r="U12" s="68">
        <f>I12/T12</f>
        <v>8.6437442069963052E-2</v>
      </c>
      <c r="V12" s="68">
        <v>0.21</v>
      </c>
      <c r="W12" s="68">
        <f t="shared" si="1"/>
        <v>1.26</v>
      </c>
      <c r="X12" s="73">
        <v>0.56999999999999995</v>
      </c>
      <c r="Y12" s="73">
        <f t="shared" si="2"/>
        <v>1.2074213797921496</v>
      </c>
      <c r="Z12" s="42">
        <f>((Y12)^2)/(2*9.81)</f>
        <v>7.4305116635024371E-2</v>
      </c>
      <c r="AA12" s="39"/>
      <c r="AB12" s="39"/>
      <c r="AC12" s="39"/>
      <c r="AD12" s="40"/>
      <c r="AE12" s="39"/>
      <c r="AF12" s="41"/>
      <c r="AG12" s="39"/>
      <c r="AH12" s="39"/>
      <c r="AI12" s="39"/>
      <c r="AJ12" s="39"/>
      <c r="AK12" s="39"/>
      <c r="AL12" s="39"/>
      <c r="AM12" s="39"/>
      <c r="AN12" s="39"/>
      <c r="AO12" s="39"/>
      <c r="AP12" s="39"/>
      <c r="AQ12" s="39"/>
      <c r="AR12" s="39"/>
      <c r="AS12" s="39"/>
      <c r="AT12" s="39"/>
      <c r="AU12" s="39"/>
      <c r="AV12" s="39"/>
      <c r="AW12" s="39"/>
      <c r="AX12" s="39"/>
      <c r="AY12" s="39"/>
      <c r="AZ12" s="39"/>
      <c r="BA12" s="39"/>
      <c r="BB12" s="39"/>
      <c r="BC12" s="39"/>
      <c r="BD12" s="39"/>
      <c r="BE12" s="39"/>
      <c r="BF12" s="39"/>
      <c r="BG12" s="39"/>
      <c r="BH12" s="39"/>
      <c r="BI12" s="39"/>
      <c r="BJ12" s="39"/>
      <c r="BK12" s="39"/>
      <c r="BL12" s="39"/>
      <c r="BM12" s="39"/>
      <c r="BN12" s="39"/>
      <c r="BO12" s="39"/>
      <c r="BP12" s="39"/>
      <c r="BQ12" s="39"/>
      <c r="BR12" s="39"/>
      <c r="BS12" s="39"/>
      <c r="BT12" s="39"/>
      <c r="BU12" s="39"/>
      <c r="BV12" s="39"/>
      <c r="BW12" s="39"/>
      <c r="BX12" s="39"/>
      <c r="BY12" s="39"/>
      <c r="BZ12" s="39"/>
      <c r="CA12" s="39"/>
      <c r="CB12" s="39"/>
      <c r="CC12" s="39"/>
      <c r="CD12" s="39"/>
      <c r="CE12" s="39"/>
      <c r="CF12" s="39"/>
      <c r="CG12" s="39"/>
      <c r="CH12" s="39"/>
      <c r="CI12" s="39"/>
      <c r="CJ12" s="39"/>
      <c r="CK12" s="39"/>
      <c r="CL12" s="39"/>
      <c r="CM12" s="39"/>
      <c r="CN12" s="39"/>
      <c r="CO12" s="39"/>
      <c r="CP12" s="39"/>
      <c r="CQ12" s="39"/>
      <c r="CR12" s="39"/>
      <c r="CS12" s="39"/>
      <c r="CT12" s="39"/>
      <c r="CU12" s="39"/>
      <c r="CV12" s="39"/>
      <c r="CW12" s="39"/>
      <c r="CX12" s="39"/>
      <c r="CY12" s="39"/>
      <c r="CZ12" s="39"/>
      <c r="DA12" s="39"/>
      <c r="DB12" s="39"/>
      <c r="DC12" s="39"/>
      <c r="DD12" s="39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  <c r="EP12" s="39"/>
      <c r="EQ12" s="39"/>
      <c r="ER12" s="39"/>
      <c r="ES12" s="39"/>
      <c r="ET12" s="39"/>
      <c r="EU12" s="39"/>
      <c r="EV12" s="39"/>
      <c r="EW12" s="39"/>
      <c r="EX12" s="39"/>
      <c r="EY12" s="39"/>
      <c r="EZ12" s="39"/>
      <c r="FA12" s="39"/>
      <c r="FB12" s="39"/>
      <c r="FC12" s="39"/>
      <c r="FD12" s="39"/>
      <c r="FE12" s="39"/>
      <c r="FF12" s="39"/>
      <c r="FG12" s="39"/>
      <c r="FH12" s="39"/>
      <c r="FI12" s="39"/>
      <c r="FJ12" s="39"/>
      <c r="FK12" s="39"/>
      <c r="FL12" s="39"/>
      <c r="FM12" s="39"/>
      <c r="FN12" s="39"/>
      <c r="FO12" s="39"/>
      <c r="FP12" s="39"/>
      <c r="FQ12" s="39"/>
      <c r="FR12" s="39"/>
      <c r="FS12" s="39"/>
      <c r="FT12" s="39"/>
      <c r="FU12" s="39"/>
      <c r="FV12" s="39"/>
      <c r="FW12" s="39"/>
      <c r="FX12" s="39"/>
      <c r="FY12" s="39"/>
      <c r="FZ12" s="39"/>
      <c r="GA12" s="39"/>
      <c r="GB12" s="39"/>
      <c r="GC12" s="39"/>
      <c r="GD12" s="39"/>
      <c r="GE12" s="39"/>
      <c r="GF12" s="39"/>
      <c r="GG12" s="39"/>
      <c r="GH12" s="39"/>
      <c r="GI12" s="39"/>
      <c r="GJ12" s="39"/>
      <c r="GK12" s="39"/>
      <c r="GL12" s="39"/>
      <c r="GM12" s="39"/>
      <c r="GN12" s="39"/>
      <c r="GO12" s="39"/>
      <c r="GP12" s="39"/>
      <c r="GQ12" s="39"/>
      <c r="GR12" s="39"/>
      <c r="GS12" s="39"/>
      <c r="GT12" s="39"/>
      <c r="GU12" s="39"/>
      <c r="GV12" s="39"/>
      <c r="GW12" s="39"/>
      <c r="GX12" s="39"/>
      <c r="GY12" s="39"/>
      <c r="GZ12" s="39"/>
      <c r="HA12" s="39"/>
      <c r="HB12" s="39"/>
      <c r="HC12" s="39"/>
      <c r="HD12" s="39"/>
      <c r="HE12" s="39"/>
      <c r="HF12" s="39"/>
      <c r="HG12" s="39"/>
      <c r="HH12" s="39"/>
      <c r="HI12" s="39"/>
      <c r="HJ12" s="39"/>
      <c r="HK12" s="39"/>
      <c r="HL12" s="39"/>
      <c r="HM12" s="39"/>
      <c r="HN12" s="39"/>
      <c r="HO12" s="39"/>
      <c r="HP12" s="39"/>
      <c r="HQ12" s="39"/>
      <c r="HR12" s="39"/>
      <c r="HS12" s="39"/>
      <c r="HT12" s="39"/>
      <c r="HU12" s="39"/>
      <c r="HV12" s="39"/>
      <c r="HW12" s="39"/>
      <c r="HX12" s="39"/>
      <c r="HY12" s="39"/>
      <c r="HZ12" s="39"/>
      <c r="IA12" s="39"/>
      <c r="IB12" s="39"/>
      <c r="IC12" s="39"/>
      <c r="ID12" s="39"/>
      <c r="IE12" s="39"/>
      <c r="IF12" s="39"/>
      <c r="IG12" s="39"/>
      <c r="IH12" s="39"/>
      <c r="II12" s="39"/>
      <c r="IJ12" s="39"/>
      <c r="IK12" s="39"/>
      <c r="IL12" s="39"/>
      <c r="IM12" s="39"/>
      <c r="IN12" s="39"/>
      <c r="IO12" s="39"/>
      <c r="IP12" s="39"/>
      <c r="IQ12" s="39"/>
      <c r="IR12" s="39"/>
      <c r="IS12" s="39"/>
      <c r="IT12" s="39"/>
      <c r="IU12" s="39"/>
      <c r="IV12" s="39"/>
      <c r="IW12" s="39"/>
      <c r="IX12" s="39"/>
      <c r="IY12" s="39"/>
      <c r="IZ12" s="39"/>
      <c r="JA12" s="39"/>
      <c r="JB12" s="39"/>
      <c r="JC12" s="39"/>
      <c r="JD12" s="39"/>
      <c r="JE12" s="39"/>
      <c r="JF12" s="39"/>
      <c r="JG12" s="39"/>
      <c r="JH12" s="39"/>
      <c r="JI12" s="39"/>
      <c r="JJ12" s="39"/>
      <c r="JK12" s="39"/>
      <c r="JL12" s="39"/>
      <c r="JM12" s="39"/>
      <c r="JN12" s="39"/>
      <c r="JO12" s="39"/>
      <c r="JP12" s="39"/>
      <c r="JQ12" s="39"/>
      <c r="JR12" s="39"/>
      <c r="JS12" s="39"/>
    </row>
    <row r="13" spans="1:279" s="43" customFormat="1" ht="23" x14ac:dyDescent="0.35">
      <c r="A13" s="66">
        <v>4</v>
      </c>
      <c r="B13" s="29">
        <f>F8</f>
        <v>155.5</v>
      </c>
      <c r="C13" s="29">
        <f>B13-D13</f>
        <v>1.5</v>
      </c>
      <c r="D13" s="29">
        <f>G8-0.1</f>
        <v>154</v>
      </c>
      <c r="E13" s="66">
        <v>7</v>
      </c>
      <c r="F13" s="67">
        <v>152</v>
      </c>
      <c r="G13" s="68">
        <f t="shared" ref="G13" si="10">+D13-L13</f>
        <v>150.5</v>
      </c>
      <c r="H13" s="68">
        <f t="shared" ref="H13" si="11">+F13-G13</f>
        <v>1.5</v>
      </c>
      <c r="I13" s="68">
        <v>5.3</v>
      </c>
      <c r="J13" s="69">
        <f t="shared" ref="J13" si="12">((B13-F13)/N13)</f>
        <v>3.5000000000000003E-2</v>
      </c>
      <c r="K13" s="70">
        <v>3.5000000000000003E-2</v>
      </c>
      <c r="L13" s="68">
        <f t="shared" ref="L13" si="13">((K13*N13))</f>
        <v>3.5000000000000004</v>
      </c>
      <c r="M13" s="68" t="e">
        <f>+#REF!</f>
        <v>#REF!</v>
      </c>
      <c r="N13" s="68">
        <v>100</v>
      </c>
      <c r="O13" s="71" t="s">
        <v>62</v>
      </c>
      <c r="P13" s="72">
        <v>0.01</v>
      </c>
      <c r="Q13" s="68">
        <v>6</v>
      </c>
      <c r="R13" s="68">
        <f t="shared" ref="R13" si="14">((Q13*0.0254)/4)</f>
        <v>3.8099999999999995E-2</v>
      </c>
      <c r="S13" s="68">
        <f t="shared" ref="S13" si="15">((1/P13)*(POWER(R13,(2/3)))*(POWER(K13,0.5)))</f>
        <v>2.1182831224423677</v>
      </c>
      <c r="T13" s="68">
        <f t="shared" ref="T13" si="16">((3.141598*(POWER((Q13*0.0254),2))/4)*S13)*1000</f>
        <v>38.640662194707026</v>
      </c>
      <c r="U13" s="68">
        <f>I13/T13</f>
        <v>0.13716121047030064</v>
      </c>
      <c r="V13" s="68">
        <v>0.26</v>
      </c>
      <c r="W13" s="68">
        <f t="shared" ref="W13" si="17">V13*Q13</f>
        <v>1.56</v>
      </c>
      <c r="X13" s="73">
        <v>0.67</v>
      </c>
      <c r="Y13" s="73">
        <f t="shared" ref="Y13" si="18">X13*S13</f>
        <v>1.4192496920363864</v>
      </c>
      <c r="Z13" s="42">
        <f>((Y13)^2)/(2*9.81)</f>
        <v>0.10266410236214972</v>
      </c>
      <c r="AA13" s="39"/>
      <c r="AB13" s="39"/>
      <c r="AC13" s="39"/>
      <c r="AD13" s="40"/>
      <c r="AE13" s="39"/>
      <c r="AF13" s="41"/>
      <c r="AG13" s="39"/>
      <c r="AH13" s="39"/>
      <c r="AI13" s="39"/>
      <c r="AJ13" s="39"/>
      <c r="AK13" s="39"/>
      <c r="AL13" s="39"/>
      <c r="AM13" s="39"/>
      <c r="AN13" s="39"/>
      <c r="AO13" s="39"/>
      <c r="AP13" s="39"/>
      <c r="AQ13" s="39"/>
      <c r="AR13" s="39"/>
      <c r="AS13" s="39"/>
      <c r="AT13" s="39"/>
      <c r="AU13" s="39"/>
      <c r="AV13" s="39"/>
      <c r="AW13" s="39"/>
      <c r="AX13" s="39"/>
      <c r="AY13" s="39"/>
      <c r="AZ13" s="39"/>
      <c r="BA13" s="39"/>
      <c r="BB13" s="39"/>
      <c r="BC13" s="39"/>
      <c r="BD13" s="39"/>
      <c r="BE13" s="39"/>
      <c r="BF13" s="39"/>
      <c r="BG13" s="39"/>
      <c r="BH13" s="39"/>
      <c r="BI13" s="39"/>
      <c r="BJ13" s="39"/>
      <c r="BK13" s="39"/>
      <c r="BL13" s="39"/>
      <c r="BM13" s="39"/>
      <c r="BN13" s="39"/>
      <c r="BO13" s="39"/>
      <c r="BP13" s="39"/>
      <c r="BQ13" s="39"/>
      <c r="BR13" s="39"/>
      <c r="BS13" s="39"/>
      <c r="BT13" s="39"/>
      <c r="BU13" s="39"/>
      <c r="BV13" s="39"/>
      <c r="BW13" s="39"/>
      <c r="BX13" s="39"/>
      <c r="BY13" s="39"/>
      <c r="BZ13" s="39"/>
      <c r="CA13" s="39"/>
      <c r="CB13" s="39"/>
      <c r="CC13" s="39"/>
      <c r="CD13" s="39"/>
      <c r="CE13" s="39"/>
      <c r="CF13" s="39"/>
      <c r="CG13" s="39"/>
      <c r="CH13" s="39"/>
      <c r="CI13" s="39"/>
      <c r="CJ13" s="39"/>
      <c r="CK13" s="39"/>
      <c r="CL13" s="39"/>
      <c r="CM13" s="39"/>
      <c r="CN13" s="39"/>
      <c r="CO13" s="39"/>
      <c r="CP13" s="39"/>
      <c r="CQ13" s="39"/>
      <c r="CR13" s="39"/>
      <c r="CS13" s="39"/>
      <c r="CT13" s="39"/>
      <c r="CU13" s="39"/>
      <c r="CV13" s="39"/>
      <c r="CW13" s="39"/>
      <c r="CX13" s="39"/>
      <c r="CY13" s="39"/>
      <c r="CZ13" s="39"/>
      <c r="DA13" s="39"/>
      <c r="DB13" s="39"/>
      <c r="DC13" s="39"/>
      <c r="DD13" s="39"/>
      <c r="DE13" s="39"/>
      <c r="DF13" s="39"/>
      <c r="DG13" s="39"/>
      <c r="DH13" s="39"/>
      <c r="DI13" s="39"/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  <c r="EP13" s="39"/>
      <c r="EQ13" s="39"/>
      <c r="ER13" s="39"/>
      <c r="ES13" s="39"/>
      <c r="ET13" s="39"/>
      <c r="EU13" s="39"/>
      <c r="EV13" s="39"/>
      <c r="EW13" s="39"/>
      <c r="EX13" s="39"/>
      <c r="EY13" s="39"/>
      <c r="EZ13" s="39"/>
      <c r="FA13" s="39"/>
      <c r="FB13" s="39"/>
      <c r="FC13" s="39"/>
      <c r="FD13" s="39"/>
      <c r="FE13" s="39"/>
      <c r="FF13" s="39"/>
      <c r="FG13" s="39"/>
      <c r="FH13" s="39"/>
      <c r="FI13" s="39"/>
      <c r="FJ13" s="39"/>
      <c r="FK13" s="39"/>
      <c r="FL13" s="39"/>
      <c r="FM13" s="39"/>
      <c r="FN13" s="39"/>
      <c r="FO13" s="39"/>
      <c r="FP13" s="39"/>
      <c r="FQ13" s="39"/>
      <c r="FR13" s="39"/>
      <c r="FS13" s="39"/>
      <c r="FT13" s="39"/>
      <c r="FU13" s="39"/>
      <c r="FV13" s="39"/>
      <c r="FW13" s="39"/>
      <c r="FX13" s="39"/>
      <c r="FY13" s="39"/>
      <c r="FZ13" s="39"/>
      <c r="GA13" s="39"/>
      <c r="GB13" s="39"/>
      <c r="GC13" s="39"/>
      <c r="GD13" s="39"/>
      <c r="GE13" s="39"/>
      <c r="GF13" s="39"/>
      <c r="GG13" s="39"/>
      <c r="GH13" s="39"/>
      <c r="GI13" s="39"/>
      <c r="GJ13" s="39"/>
      <c r="GK13" s="39"/>
      <c r="GL13" s="39"/>
      <c r="GM13" s="39"/>
      <c r="GN13" s="39"/>
      <c r="GO13" s="39"/>
      <c r="GP13" s="39"/>
      <c r="GQ13" s="39"/>
      <c r="GR13" s="39"/>
      <c r="GS13" s="39"/>
      <c r="GT13" s="39"/>
      <c r="GU13" s="39"/>
      <c r="GV13" s="39"/>
      <c r="GW13" s="39"/>
      <c r="GX13" s="39"/>
      <c r="GY13" s="39"/>
      <c r="GZ13" s="39"/>
      <c r="HA13" s="39"/>
      <c r="HB13" s="39"/>
      <c r="HC13" s="39"/>
      <c r="HD13" s="39"/>
      <c r="HE13" s="39"/>
      <c r="HF13" s="39"/>
      <c r="HG13" s="39"/>
      <c r="HH13" s="39"/>
      <c r="HI13" s="39"/>
      <c r="HJ13" s="39"/>
      <c r="HK13" s="39"/>
      <c r="HL13" s="39"/>
      <c r="HM13" s="39"/>
      <c r="HN13" s="39"/>
      <c r="HO13" s="39"/>
      <c r="HP13" s="39"/>
      <c r="HQ13" s="39"/>
      <c r="HR13" s="39"/>
      <c r="HS13" s="39"/>
      <c r="HT13" s="39"/>
      <c r="HU13" s="39"/>
      <c r="HV13" s="39"/>
      <c r="HW13" s="39"/>
      <c r="HX13" s="39"/>
      <c r="HY13" s="39"/>
      <c r="HZ13" s="39"/>
      <c r="IA13" s="39"/>
      <c r="IB13" s="39"/>
      <c r="IC13" s="39"/>
      <c r="ID13" s="39"/>
      <c r="IE13" s="39"/>
      <c r="IF13" s="39"/>
      <c r="IG13" s="39"/>
      <c r="IH13" s="39"/>
      <c r="II13" s="39"/>
      <c r="IJ13" s="39"/>
      <c r="IK13" s="39"/>
      <c r="IL13" s="39"/>
      <c r="IM13" s="39"/>
      <c r="IN13" s="39"/>
      <c r="IO13" s="39"/>
      <c r="IP13" s="39"/>
      <c r="IQ13" s="39"/>
      <c r="IR13" s="39"/>
      <c r="IS13" s="39"/>
      <c r="IT13" s="39"/>
      <c r="IU13" s="39"/>
      <c r="IV13" s="39"/>
      <c r="IW13" s="39"/>
      <c r="IX13" s="39"/>
      <c r="IY13" s="39"/>
      <c r="IZ13" s="39"/>
      <c r="JA13" s="39"/>
      <c r="JB13" s="39"/>
      <c r="JC13" s="39"/>
      <c r="JD13" s="39"/>
      <c r="JE13" s="39"/>
      <c r="JF13" s="39"/>
      <c r="JG13" s="39"/>
      <c r="JH13" s="39"/>
      <c r="JI13" s="39"/>
      <c r="JJ13" s="39"/>
      <c r="JK13" s="39"/>
      <c r="JL13" s="39"/>
      <c r="JM13" s="39"/>
      <c r="JN13" s="39"/>
      <c r="JO13" s="39"/>
      <c r="JP13" s="39"/>
      <c r="JQ13" s="39"/>
      <c r="JR13" s="39"/>
      <c r="JS13" s="39"/>
    </row>
    <row r="14" spans="1:279" s="39" customFormat="1" ht="23" x14ac:dyDescent="0.35">
      <c r="A14" s="66">
        <v>4</v>
      </c>
      <c r="B14" s="29">
        <f>F8</f>
        <v>155.5</v>
      </c>
      <c r="C14" s="29">
        <v>1.35</v>
      </c>
      <c r="D14" s="29">
        <f>B14-C14</f>
        <v>154.15</v>
      </c>
      <c r="E14" s="66">
        <v>5</v>
      </c>
      <c r="F14" s="67">
        <v>154</v>
      </c>
      <c r="G14" s="68">
        <f>+D14-L14</f>
        <v>152.65</v>
      </c>
      <c r="H14" s="68">
        <f>+F14-G14</f>
        <v>1.3499999999999943</v>
      </c>
      <c r="I14" s="68">
        <v>3.84</v>
      </c>
      <c r="J14" s="69">
        <f t="shared" si="4"/>
        <v>1.4999999999999999E-2</v>
      </c>
      <c r="K14" s="70">
        <v>1.4999999999999999E-2</v>
      </c>
      <c r="L14" s="68">
        <f t="shared" si="5"/>
        <v>1.5</v>
      </c>
      <c r="M14" s="68" t="e">
        <f>+#REF!</f>
        <v>#REF!</v>
      </c>
      <c r="N14" s="68">
        <v>100</v>
      </c>
      <c r="O14" s="71" t="s">
        <v>62</v>
      </c>
      <c r="P14" s="72">
        <v>0.01</v>
      </c>
      <c r="Q14" s="68">
        <v>6</v>
      </c>
      <c r="R14" s="68">
        <f t="shared" si="6"/>
        <v>3.8099999999999995E-2</v>
      </c>
      <c r="S14" s="68">
        <f t="shared" si="7"/>
        <v>1.3867418217056513</v>
      </c>
      <c r="T14" s="68">
        <f t="shared" si="8"/>
        <v>25.296251344351912</v>
      </c>
      <c r="U14" s="68">
        <f>I14/T14</f>
        <v>0.151801148230502</v>
      </c>
      <c r="V14" s="68">
        <v>0.27</v>
      </c>
      <c r="W14" s="68">
        <f t="shared" si="1"/>
        <v>1.62</v>
      </c>
      <c r="X14" s="73">
        <v>0.69</v>
      </c>
      <c r="Y14" s="73">
        <f t="shared" si="2"/>
        <v>0.95685185697689934</v>
      </c>
      <c r="Z14" s="42"/>
      <c r="AD14" s="40"/>
      <c r="AF14" s="41"/>
    </row>
    <row r="15" spans="1:279" s="39" customFormat="1" ht="23" x14ac:dyDescent="0.35">
      <c r="A15" s="74">
        <v>5</v>
      </c>
      <c r="B15" s="31">
        <f>F14</f>
        <v>154</v>
      </c>
      <c r="C15" s="31">
        <f>B15-D15</f>
        <v>1.5600000000000023</v>
      </c>
      <c r="D15" s="31">
        <f>G14-0.21</f>
        <v>152.44</v>
      </c>
      <c r="E15" s="74">
        <v>8</v>
      </c>
      <c r="F15" s="75">
        <v>150</v>
      </c>
      <c r="G15" s="76">
        <f>+D15-L15</f>
        <v>148.44</v>
      </c>
      <c r="H15" s="76">
        <f t="shared" ref="H15:H18" si="19">+F15-G15</f>
        <v>1.5600000000000023</v>
      </c>
      <c r="I15" s="76">
        <v>14.54</v>
      </c>
      <c r="J15" s="77">
        <f t="shared" ref="J15:J19" si="20">((B15-F15)/N15)</f>
        <v>0.04</v>
      </c>
      <c r="K15" s="78">
        <v>0.04</v>
      </c>
      <c r="L15" s="76">
        <f>((K15*N15))</f>
        <v>4</v>
      </c>
      <c r="M15" s="76" t="e">
        <f>+#REF!</f>
        <v>#REF!</v>
      </c>
      <c r="N15" s="76">
        <v>100</v>
      </c>
      <c r="O15" s="79" t="s">
        <v>62</v>
      </c>
      <c r="P15" s="80">
        <v>0.01</v>
      </c>
      <c r="Q15" s="76">
        <v>6</v>
      </c>
      <c r="R15" s="76">
        <f t="shared" ref="R15:R19" si="21">((Q15*0.0254)/4)</f>
        <v>3.8099999999999995E-2</v>
      </c>
      <c r="S15" s="76">
        <f t="shared" ref="S15:S19" si="22">((1/P15)*(POWER(R15,(2/3)))*(POWER(K15,0.5)))</f>
        <v>2.2645399121043015</v>
      </c>
      <c r="T15" s="76">
        <f t="shared" ref="T15:T19" si="23">((3.141598*(POWER((Q15*0.0254),2))/4)*S15)*1000</f>
        <v>41.308605465903469</v>
      </c>
      <c r="U15" s="76">
        <f t="shared" ref="U15" si="24">I15/T15</f>
        <v>0.3519847701467787</v>
      </c>
      <c r="V15" s="76">
        <v>0.42</v>
      </c>
      <c r="W15" s="76">
        <f t="shared" ref="W15" si="25">V15*Q15</f>
        <v>2.52</v>
      </c>
      <c r="X15" s="81">
        <v>0.89</v>
      </c>
      <c r="Y15" s="81">
        <f t="shared" ref="Y15:Y19" si="26">X15*S15</f>
        <v>2.0154405217728284</v>
      </c>
      <c r="Z15" s="42">
        <f>((Y15)^2)/(2*9.81)</f>
        <v>0.20703366446503213</v>
      </c>
      <c r="AD15" s="40"/>
      <c r="AF15" s="41"/>
    </row>
    <row r="16" spans="1:279" s="39" customFormat="1" ht="23" x14ac:dyDescent="0.35">
      <c r="A16" s="74">
        <v>5</v>
      </c>
      <c r="B16" s="31">
        <f>B15</f>
        <v>154</v>
      </c>
      <c r="C16" s="31">
        <v>1.35</v>
      </c>
      <c r="D16" s="31">
        <f>B16-C16</f>
        <v>152.65</v>
      </c>
      <c r="E16" s="74">
        <v>6</v>
      </c>
      <c r="F16" s="75">
        <f>F12</f>
        <v>153.5</v>
      </c>
      <c r="G16" s="76">
        <f t="shared" ref="G16:G18" si="27">+D16-L16</f>
        <v>152.15</v>
      </c>
      <c r="H16" s="76">
        <f t="shared" si="19"/>
        <v>1.3499999999999943</v>
      </c>
      <c r="I16" s="76">
        <v>4.3600000000000003</v>
      </c>
      <c r="J16" s="77">
        <f t="shared" si="20"/>
        <v>5.0000000000000001E-3</v>
      </c>
      <c r="K16" s="78">
        <v>5.0000000000000001E-3</v>
      </c>
      <c r="L16" s="76">
        <f t="shared" ref="L16:L19" si="28">((K16*N16))</f>
        <v>0.5</v>
      </c>
      <c r="M16" s="76" t="e">
        <f>+#REF!</f>
        <v>#REF!</v>
      </c>
      <c r="N16" s="76">
        <v>100</v>
      </c>
      <c r="O16" s="79" t="s">
        <v>62</v>
      </c>
      <c r="P16" s="80">
        <v>0.01</v>
      </c>
      <c r="Q16" s="76">
        <v>6</v>
      </c>
      <c r="R16" s="76">
        <f t="shared" si="21"/>
        <v>3.8099999999999995E-2</v>
      </c>
      <c r="S16" s="76">
        <f t="shared" si="22"/>
        <v>0.80063576405826986</v>
      </c>
      <c r="T16" s="76">
        <f t="shared" si="23"/>
        <v>14.60479752315001</v>
      </c>
      <c r="U16" s="76">
        <f>I16/T16</f>
        <v>0.29853204011140727</v>
      </c>
      <c r="V16" s="76">
        <v>0.38</v>
      </c>
      <c r="W16" s="76">
        <f>V16*Q16</f>
        <v>2.2800000000000002</v>
      </c>
      <c r="X16" s="81">
        <v>0.84</v>
      </c>
      <c r="Y16" s="81">
        <f t="shared" si="26"/>
        <v>0.6725340418089466</v>
      </c>
      <c r="Z16" s="38"/>
      <c r="AD16" s="40"/>
      <c r="AF16" s="41"/>
    </row>
    <row r="17" spans="1:32" s="39" customFormat="1" ht="23" x14ac:dyDescent="0.35">
      <c r="A17" s="74">
        <v>6</v>
      </c>
      <c r="B17" s="31">
        <f>F16</f>
        <v>153.5</v>
      </c>
      <c r="C17" s="31">
        <f>B17-D17</f>
        <v>1.5099999999999909</v>
      </c>
      <c r="D17" s="31">
        <f>G16-0.16</f>
        <v>151.99</v>
      </c>
      <c r="E17" s="74">
        <v>9</v>
      </c>
      <c r="F17" s="75">
        <v>149.5</v>
      </c>
      <c r="G17" s="76">
        <f t="shared" si="27"/>
        <v>147.99</v>
      </c>
      <c r="H17" s="76">
        <f t="shared" si="19"/>
        <v>1.5099999999999909</v>
      </c>
      <c r="I17" s="76">
        <v>9.7799999999999994</v>
      </c>
      <c r="J17" s="77">
        <f t="shared" si="20"/>
        <v>0.04</v>
      </c>
      <c r="K17" s="78">
        <v>0.04</v>
      </c>
      <c r="L17" s="76">
        <f t="shared" si="28"/>
        <v>4</v>
      </c>
      <c r="M17" s="76" t="e">
        <f>+#REF!</f>
        <v>#REF!</v>
      </c>
      <c r="N17" s="76">
        <v>100</v>
      </c>
      <c r="O17" s="79" t="s">
        <v>62</v>
      </c>
      <c r="P17" s="80">
        <v>0.01</v>
      </c>
      <c r="Q17" s="76">
        <v>6</v>
      </c>
      <c r="R17" s="76">
        <f t="shared" si="21"/>
        <v>3.8099999999999995E-2</v>
      </c>
      <c r="S17" s="76">
        <f t="shared" si="22"/>
        <v>2.2645399121043015</v>
      </c>
      <c r="T17" s="76">
        <f t="shared" si="23"/>
        <v>41.308605465903469</v>
      </c>
      <c r="U17" s="76">
        <f>I17/T17</f>
        <v>0.23675454278098321</v>
      </c>
      <c r="V17" s="76">
        <v>0.34</v>
      </c>
      <c r="W17" s="76">
        <f t="shared" ref="W17:W20" si="29">V17*Q17</f>
        <v>2.04</v>
      </c>
      <c r="X17" s="81">
        <v>0.79</v>
      </c>
      <c r="Y17" s="81">
        <f t="shared" si="26"/>
        <v>1.7889865305623982</v>
      </c>
      <c r="Z17" s="42">
        <f>((Y17)^2)/(2*9.81)</f>
        <v>0.16312297688754773</v>
      </c>
      <c r="AD17" s="40"/>
      <c r="AF17" s="41"/>
    </row>
    <row r="18" spans="1:32" s="39" customFormat="1" ht="23" x14ac:dyDescent="0.35">
      <c r="A18" s="74">
        <v>7</v>
      </c>
      <c r="B18" s="31">
        <f>F13</f>
        <v>152</v>
      </c>
      <c r="C18" s="31">
        <f>B18-D18</f>
        <v>1.6399999999999864</v>
      </c>
      <c r="D18" s="31">
        <f>G13-0.14</f>
        <v>150.36000000000001</v>
      </c>
      <c r="E18" s="74">
        <v>10</v>
      </c>
      <c r="F18" s="75">
        <v>148</v>
      </c>
      <c r="G18" s="76">
        <f t="shared" si="27"/>
        <v>146.36000000000001</v>
      </c>
      <c r="H18" s="76">
        <f t="shared" si="19"/>
        <v>1.6399999999999864</v>
      </c>
      <c r="I18" s="76">
        <v>7.9</v>
      </c>
      <c r="J18" s="77">
        <f t="shared" si="20"/>
        <v>0.04</v>
      </c>
      <c r="K18" s="78">
        <v>0.04</v>
      </c>
      <c r="L18" s="76">
        <f t="shared" si="28"/>
        <v>4</v>
      </c>
      <c r="M18" s="76" t="e">
        <f>+#REF!</f>
        <v>#REF!</v>
      </c>
      <c r="N18" s="76">
        <v>100</v>
      </c>
      <c r="O18" s="79" t="s">
        <v>62</v>
      </c>
      <c r="P18" s="80">
        <v>0.01</v>
      </c>
      <c r="Q18" s="76">
        <v>6</v>
      </c>
      <c r="R18" s="76">
        <f t="shared" si="21"/>
        <v>3.8099999999999995E-2</v>
      </c>
      <c r="S18" s="76">
        <f t="shared" si="22"/>
        <v>2.2645399121043015</v>
      </c>
      <c r="T18" s="76">
        <f t="shared" si="23"/>
        <v>41.308605465903469</v>
      </c>
      <c r="U18" s="76">
        <f>I18/T18</f>
        <v>0.19124344457768583</v>
      </c>
      <c r="V18" s="76">
        <v>0.31</v>
      </c>
      <c r="W18" s="76">
        <f t="shared" si="29"/>
        <v>1.8599999999999999</v>
      </c>
      <c r="X18" s="81">
        <v>0.74</v>
      </c>
      <c r="Y18" s="81">
        <f t="shared" si="26"/>
        <v>1.675759534957183</v>
      </c>
      <c r="Z18" s="42">
        <f>((Y18)^2)/(2*9.81)</f>
        <v>0.14312793165137178</v>
      </c>
      <c r="AD18" s="40"/>
      <c r="AF18" s="41"/>
    </row>
    <row r="19" spans="1:32" s="39" customFormat="1" ht="23" x14ac:dyDescent="0.35">
      <c r="A19" s="74">
        <v>7</v>
      </c>
      <c r="B19" s="31">
        <f>F13</f>
        <v>152</v>
      </c>
      <c r="C19" s="31">
        <v>1.35</v>
      </c>
      <c r="D19" s="31">
        <f>B19-C19</f>
        <v>150.65</v>
      </c>
      <c r="E19" s="74">
        <v>8</v>
      </c>
      <c r="F19" s="75">
        <v>150</v>
      </c>
      <c r="G19" s="76">
        <f>+D19-L19</f>
        <v>148.65</v>
      </c>
      <c r="H19" s="76">
        <f>+F19-G19</f>
        <v>1.3499999999999943</v>
      </c>
      <c r="I19" s="76">
        <v>3.95</v>
      </c>
      <c r="J19" s="77">
        <f t="shared" si="20"/>
        <v>0.02</v>
      </c>
      <c r="K19" s="78">
        <v>0.02</v>
      </c>
      <c r="L19" s="76">
        <f t="shared" si="28"/>
        <v>2</v>
      </c>
      <c r="M19" s="76" t="e">
        <f>+#REF!</f>
        <v>#REF!</v>
      </c>
      <c r="N19" s="76">
        <v>100</v>
      </c>
      <c r="O19" s="79" t="s">
        <v>62</v>
      </c>
      <c r="P19" s="80">
        <v>0.01</v>
      </c>
      <c r="Q19" s="76">
        <v>6</v>
      </c>
      <c r="R19" s="76">
        <f t="shared" si="21"/>
        <v>3.8099999999999995E-2</v>
      </c>
      <c r="S19" s="76">
        <f t="shared" si="22"/>
        <v>1.6012715281165397</v>
      </c>
      <c r="T19" s="76">
        <f t="shared" si="23"/>
        <v>29.20959504630002</v>
      </c>
      <c r="U19" s="76">
        <f>I19/T19</f>
        <v>0.13522953651835534</v>
      </c>
      <c r="V19" s="76">
        <v>0.26</v>
      </c>
      <c r="W19" s="76">
        <f t="shared" si="29"/>
        <v>1.56</v>
      </c>
      <c r="X19" s="81">
        <v>0.67</v>
      </c>
      <c r="Y19" s="81">
        <f t="shared" si="26"/>
        <v>1.0728519238380816</v>
      </c>
      <c r="Z19" s="42"/>
      <c r="AD19" s="40"/>
      <c r="AF19" s="41"/>
    </row>
    <row r="20" spans="1:32" s="39" customFormat="1" ht="23" x14ac:dyDescent="0.35">
      <c r="A20" s="74">
        <v>8</v>
      </c>
      <c r="B20" s="31">
        <f>F19</f>
        <v>150</v>
      </c>
      <c r="C20" s="31">
        <f>B20-D20</f>
        <v>1.6200000000000045</v>
      </c>
      <c r="D20" s="31">
        <f>G19-0.27</f>
        <v>148.38</v>
      </c>
      <c r="E20" s="74">
        <v>11</v>
      </c>
      <c r="F20" s="75">
        <v>146</v>
      </c>
      <c r="G20" s="76">
        <f>+D20-L20</f>
        <v>144.38</v>
      </c>
      <c r="H20" s="76">
        <f t="shared" ref="H20:H23" si="30">+F20-G20</f>
        <v>1.6200000000000045</v>
      </c>
      <c r="I20" s="76">
        <v>23.68</v>
      </c>
      <c r="J20" s="77">
        <f>((B20-F20)/N20)</f>
        <v>0.04</v>
      </c>
      <c r="K20" s="78">
        <v>0.04</v>
      </c>
      <c r="L20" s="76">
        <f>((K20*N20))</f>
        <v>4</v>
      </c>
      <c r="M20" s="76" t="e">
        <f>+#REF!</f>
        <v>#REF!</v>
      </c>
      <c r="N20" s="76">
        <v>100</v>
      </c>
      <c r="O20" s="79" t="s">
        <v>62</v>
      </c>
      <c r="P20" s="80">
        <v>0.01</v>
      </c>
      <c r="Q20" s="76">
        <v>6</v>
      </c>
      <c r="R20" s="76">
        <f t="shared" ref="R20:R23" si="31">((Q20*0.0254)/4)</f>
        <v>3.8099999999999995E-2</v>
      </c>
      <c r="S20" s="76">
        <f t="shared" ref="S20:S23" si="32">((1/P20)*(POWER(R20,(2/3)))*(POWER(K20,0.5)))</f>
        <v>2.2645399121043015</v>
      </c>
      <c r="T20" s="76">
        <f t="shared" ref="T20:T23" si="33">((3.141598*(POWER((Q20*0.0254),2))/4)*S20)*1000</f>
        <v>41.308605465903469</v>
      </c>
      <c r="U20" s="76">
        <f t="shared" ref="U20" si="34">I20/T20</f>
        <v>0.57324617311387349</v>
      </c>
      <c r="V20" s="76">
        <v>0.55000000000000004</v>
      </c>
      <c r="W20" s="76">
        <f t="shared" si="29"/>
        <v>3.3000000000000003</v>
      </c>
      <c r="X20" s="81">
        <v>1.02</v>
      </c>
      <c r="Y20" s="81">
        <f t="shared" ref="Y20:Y23" si="35">X20*S20</f>
        <v>2.3098307103463878</v>
      </c>
      <c r="Z20" s="42">
        <f>((Y20)^2)/(2*9.81)</f>
        <v>0.27193261521199275</v>
      </c>
      <c r="AD20" s="40"/>
      <c r="AF20" s="41"/>
    </row>
    <row r="21" spans="1:32" s="39" customFormat="1" ht="23" x14ac:dyDescent="0.35">
      <c r="A21" s="74">
        <v>8</v>
      </c>
      <c r="B21" s="31">
        <f>B20</f>
        <v>150</v>
      </c>
      <c r="C21" s="31">
        <v>1.35</v>
      </c>
      <c r="D21" s="31">
        <f>B21-C21</f>
        <v>148.65</v>
      </c>
      <c r="E21" s="74">
        <v>9</v>
      </c>
      <c r="F21" s="75">
        <f>F17</f>
        <v>149.5</v>
      </c>
      <c r="G21" s="76">
        <f t="shared" ref="G21:G23" si="36">+D21-L21</f>
        <v>148.15</v>
      </c>
      <c r="H21" s="76">
        <f t="shared" si="30"/>
        <v>1.3499999999999943</v>
      </c>
      <c r="I21" s="76">
        <v>4.26</v>
      </c>
      <c r="J21" s="77">
        <f t="shared" ref="J21:J23" si="37">((B21-F21)/N21)</f>
        <v>5.0000000000000001E-3</v>
      </c>
      <c r="K21" s="78">
        <v>5.0000000000000001E-3</v>
      </c>
      <c r="L21" s="76">
        <f t="shared" ref="L21:L23" si="38">((K21*N21))</f>
        <v>0.5</v>
      </c>
      <c r="M21" s="76" t="e">
        <f>+#REF!</f>
        <v>#REF!</v>
      </c>
      <c r="N21" s="76">
        <v>100</v>
      </c>
      <c r="O21" s="79" t="s">
        <v>62</v>
      </c>
      <c r="P21" s="80">
        <v>0.01</v>
      </c>
      <c r="Q21" s="76">
        <v>6</v>
      </c>
      <c r="R21" s="76">
        <f t="shared" si="31"/>
        <v>3.8099999999999995E-2</v>
      </c>
      <c r="S21" s="76">
        <f t="shared" si="32"/>
        <v>0.80063576405826986</v>
      </c>
      <c r="T21" s="76">
        <f t="shared" si="33"/>
        <v>14.60479752315001</v>
      </c>
      <c r="U21" s="76">
        <f>I21/T21</f>
        <v>0.29168497497123735</v>
      </c>
      <c r="V21" s="76">
        <v>0.37</v>
      </c>
      <c r="W21" s="76">
        <f>V21*Q21</f>
        <v>2.2199999999999998</v>
      </c>
      <c r="X21" s="81">
        <v>0.83</v>
      </c>
      <c r="Y21" s="81">
        <f t="shared" si="35"/>
        <v>0.66452768416836394</v>
      </c>
      <c r="Z21" s="38"/>
      <c r="AD21" s="40"/>
      <c r="AF21" s="41"/>
    </row>
    <row r="22" spans="1:32" s="39" customFormat="1" ht="23" x14ac:dyDescent="0.35">
      <c r="A22" s="74">
        <v>9</v>
      </c>
      <c r="B22" s="31">
        <f>F21</f>
        <v>149.5</v>
      </c>
      <c r="C22" s="31">
        <f>B22-D22</f>
        <v>1.5900000000000034</v>
      </c>
      <c r="D22" s="31">
        <f>G21-0.24</f>
        <v>147.91</v>
      </c>
      <c r="E22" s="74">
        <v>12</v>
      </c>
      <c r="F22" s="75">
        <v>145</v>
      </c>
      <c r="G22" s="76">
        <f t="shared" si="36"/>
        <v>143.41</v>
      </c>
      <c r="H22" s="76">
        <f t="shared" si="30"/>
        <v>1.5900000000000034</v>
      </c>
      <c r="I22" s="76">
        <v>15.92</v>
      </c>
      <c r="J22" s="77">
        <f t="shared" si="37"/>
        <v>4.4999999999999998E-2</v>
      </c>
      <c r="K22" s="78">
        <v>4.4999999999999998E-2</v>
      </c>
      <c r="L22" s="76">
        <f t="shared" si="38"/>
        <v>4.5</v>
      </c>
      <c r="M22" s="76" t="e">
        <f>+#REF!</f>
        <v>#REF!</v>
      </c>
      <c r="N22" s="76">
        <v>100</v>
      </c>
      <c r="O22" s="79" t="s">
        <v>62</v>
      </c>
      <c r="P22" s="80">
        <v>0.01</v>
      </c>
      <c r="Q22" s="76">
        <v>6</v>
      </c>
      <c r="R22" s="76">
        <f t="shared" si="31"/>
        <v>3.8099999999999995E-2</v>
      </c>
      <c r="S22" s="76">
        <f t="shared" si="32"/>
        <v>2.4019072921748097</v>
      </c>
      <c r="T22" s="76">
        <f t="shared" si="33"/>
        <v>43.814392569450035</v>
      </c>
      <c r="U22" s="76">
        <f>I22/T22</f>
        <v>0.36335092343834885</v>
      </c>
      <c r="V22" s="76">
        <v>0.43</v>
      </c>
      <c r="W22" s="76">
        <f t="shared" ref="W22:W23" si="39">V22*Q22</f>
        <v>2.58</v>
      </c>
      <c r="X22" s="81">
        <v>0.91</v>
      </c>
      <c r="Y22" s="81">
        <f t="shared" si="35"/>
        <v>2.1857356358790767</v>
      </c>
      <c r="Z22" s="42">
        <f>((Y22)^2)/(2*9.81)</f>
        <v>0.24349848470701896</v>
      </c>
      <c r="AD22" s="40"/>
      <c r="AF22" s="41"/>
    </row>
    <row r="23" spans="1:32" s="39" customFormat="1" ht="23" x14ac:dyDescent="0.35">
      <c r="A23" s="74">
        <v>10</v>
      </c>
      <c r="B23" s="31">
        <f>F18</f>
        <v>148</v>
      </c>
      <c r="C23" s="31">
        <f>B23-D23</f>
        <v>1.7399999999999807</v>
      </c>
      <c r="D23" s="31">
        <f>G18-0.1</f>
        <v>146.26000000000002</v>
      </c>
      <c r="E23" s="74">
        <v>11</v>
      </c>
      <c r="F23" s="75">
        <v>146</v>
      </c>
      <c r="G23" s="76">
        <f t="shared" si="36"/>
        <v>144.26000000000002</v>
      </c>
      <c r="H23" s="76">
        <f t="shared" si="30"/>
        <v>1.7399999999999807</v>
      </c>
      <c r="I23" s="76">
        <v>10.09</v>
      </c>
      <c r="J23" s="77">
        <f t="shared" si="37"/>
        <v>0.02</v>
      </c>
      <c r="K23" s="78">
        <v>0.02</v>
      </c>
      <c r="L23" s="76">
        <f t="shared" si="38"/>
        <v>2</v>
      </c>
      <c r="M23" s="76" t="e">
        <f>+#REF!</f>
        <v>#REF!</v>
      </c>
      <c r="N23" s="76">
        <v>100</v>
      </c>
      <c r="O23" s="79" t="s">
        <v>62</v>
      </c>
      <c r="P23" s="80">
        <v>0.01</v>
      </c>
      <c r="Q23" s="76">
        <v>6</v>
      </c>
      <c r="R23" s="76">
        <f t="shared" si="31"/>
        <v>3.8099999999999995E-2</v>
      </c>
      <c r="S23" s="76">
        <f t="shared" si="32"/>
        <v>1.6012715281165397</v>
      </c>
      <c r="T23" s="76">
        <f t="shared" si="33"/>
        <v>29.20959504630002</v>
      </c>
      <c r="U23" s="76">
        <f>I23/T23</f>
        <v>0.345434436321571</v>
      </c>
      <c r="V23" s="76">
        <v>0.42</v>
      </c>
      <c r="W23" s="76">
        <f t="shared" si="39"/>
        <v>2.52</v>
      </c>
      <c r="X23" s="81">
        <v>0.89</v>
      </c>
      <c r="Y23" s="81">
        <f t="shared" si="35"/>
        <v>1.4251316600237203</v>
      </c>
      <c r="Z23" s="42">
        <f>((Y23)^2)/(2*9.81)</f>
        <v>0.10351683223251602</v>
      </c>
      <c r="AD23" s="40"/>
      <c r="AF23" s="41"/>
    </row>
    <row r="24" spans="1:32" s="39" customFormat="1" ht="23" x14ac:dyDescent="0.35">
      <c r="A24" s="74">
        <v>11</v>
      </c>
      <c r="B24" s="31">
        <f>F23</f>
        <v>146</v>
      </c>
      <c r="C24" s="31">
        <f>B24-D24</f>
        <v>1.9899999999999807</v>
      </c>
      <c r="D24" s="31">
        <f>G23-0.25</f>
        <v>144.01000000000002</v>
      </c>
      <c r="E24" s="74" t="s">
        <v>68</v>
      </c>
      <c r="F24" s="75">
        <v>145.5</v>
      </c>
      <c r="G24" s="76">
        <f t="shared" ref="G24" si="40">+D24-L24</f>
        <v>142.51000000000002</v>
      </c>
      <c r="H24" s="76">
        <f>+F24-G24</f>
        <v>2.9899999999999807</v>
      </c>
      <c r="I24" s="76">
        <v>34.58</v>
      </c>
      <c r="J24" s="77">
        <f>((B24-F24)/N24)</f>
        <v>0.01</v>
      </c>
      <c r="K24" s="78">
        <v>0.03</v>
      </c>
      <c r="L24" s="76">
        <f t="shared" ref="L24" si="41">((K24*N24))</f>
        <v>1.5</v>
      </c>
      <c r="M24" s="76" t="e">
        <f>+#REF!</f>
        <v>#REF!</v>
      </c>
      <c r="N24" s="76">
        <v>50</v>
      </c>
      <c r="O24" s="79" t="s">
        <v>62</v>
      </c>
      <c r="P24" s="80">
        <v>0.01</v>
      </c>
      <c r="Q24" s="76">
        <v>8</v>
      </c>
      <c r="R24" s="76">
        <f t="shared" ref="R24" si="42">((Q24*0.0254)/4)</f>
        <v>5.0799999999999998E-2</v>
      </c>
      <c r="S24" s="76">
        <f>((1/P24)*(POWER(R24,(2/3)))*(POWER(K24,0.5)))</f>
        <v>2.3757629335081583</v>
      </c>
      <c r="T24" s="76">
        <f>((3.141598*(POWER((Q24*0.0254),2))/4)*S24)*1000</f>
        <v>77.044409321282089</v>
      </c>
      <c r="U24" s="76">
        <f>I24/T24</f>
        <v>0.44883204770638579</v>
      </c>
      <c r="V24" s="76">
        <v>0.47</v>
      </c>
      <c r="W24" s="76">
        <f t="shared" ref="W24" si="43">V24*Q24</f>
        <v>3.76</v>
      </c>
      <c r="X24" s="81">
        <v>0.94</v>
      </c>
      <c r="Y24" s="81">
        <f t="shared" ref="Y24" si="44">X24*S24</f>
        <v>2.2332171574976685</v>
      </c>
      <c r="Z24" s="42">
        <f>((Y24)^2)/(2*9.81)</f>
        <v>0.25419260308572711</v>
      </c>
      <c r="AD24" s="40"/>
      <c r="AF24" s="41"/>
    </row>
    <row r="25" spans="1:32" s="39" customFormat="1" ht="23" x14ac:dyDescent="0.35">
      <c r="A25" s="74">
        <v>12</v>
      </c>
      <c r="B25" s="31">
        <f>F22</f>
        <v>145</v>
      </c>
      <c r="C25" s="31">
        <f>B25-D25</f>
        <v>2.5799999999999841</v>
      </c>
      <c r="D25" s="31">
        <f>G24-0.09</f>
        <v>142.42000000000002</v>
      </c>
      <c r="E25" s="74" t="s">
        <v>68</v>
      </c>
      <c r="F25" s="75">
        <v>145.5</v>
      </c>
      <c r="G25" s="76">
        <f>+D25-L25</f>
        <v>141.92000000000002</v>
      </c>
      <c r="H25" s="76">
        <f>+F25-G25</f>
        <v>3.5799999999999841</v>
      </c>
      <c r="I25" s="76">
        <v>16.73</v>
      </c>
      <c r="J25" s="77">
        <f>((B25-F25)/N25)</f>
        <v>-0.01</v>
      </c>
      <c r="K25" s="78">
        <v>0.01</v>
      </c>
      <c r="L25" s="76">
        <f t="shared" ref="L25" si="45">((K25*N25))</f>
        <v>0.5</v>
      </c>
      <c r="M25" s="76" t="e">
        <f>+#REF!</f>
        <v>#REF!</v>
      </c>
      <c r="N25" s="76">
        <v>50</v>
      </c>
      <c r="O25" s="79" t="s">
        <v>62</v>
      </c>
      <c r="P25" s="80">
        <v>0.01</v>
      </c>
      <c r="Q25" s="76">
        <v>8</v>
      </c>
      <c r="R25" s="76">
        <f t="shared" ref="R25" si="46">((Q25*0.0254)/4)</f>
        <v>5.0799999999999998E-2</v>
      </c>
      <c r="S25" s="76">
        <f t="shared" ref="S25" si="47">((1/P25)*(POWER(R25,(2/3)))*(POWER(K25,0.5)))</f>
        <v>1.3716473691916702</v>
      </c>
      <c r="T25" s="76">
        <f t="shared" ref="T25" si="48">((3.141598*(POWER((Q25*0.0254),2))/4)*S25)*1000</f>
        <v>44.481610461197931</v>
      </c>
      <c r="U25" s="76">
        <f>I25/T25</f>
        <v>0.37611048310838174</v>
      </c>
      <c r="V25" s="76">
        <v>0.45</v>
      </c>
      <c r="W25" s="76">
        <f t="shared" ref="W25" si="49">V25*Q25</f>
        <v>3.6</v>
      </c>
      <c r="X25" s="81">
        <v>0.95</v>
      </c>
      <c r="Y25" s="81">
        <f t="shared" ref="Y25" si="50">X25*S25</f>
        <v>1.3030650007320865</v>
      </c>
      <c r="Z25" s="42">
        <f>((Y25)^2)/(2*9.81)</f>
        <v>8.6543241393114811E-2</v>
      </c>
      <c r="AD25" s="40"/>
      <c r="AF25" s="41"/>
    </row>
    <row r="26" spans="1:32" s="39" customFormat="1" ht="25" x14ac:dyDescent="0.35">
      <c r="A26" s="44"/>
      <c r="B26" s="45"/>
      <c r="C26" s="45"/>
      <c r="D26" s="45"/>
      <c r="E26" s="44"/>
      <c r="F26" s="46"/>
      <c r="G26" s="47"/>
      <c r="H26" s="47"/>
      <c r="I26" s="47"/>
      <c r="J26" s="12"/>
      <c r="K26" s="48"/>
      <c r="L26" s="47"/>
      <c r="M26" s="47"/>
      <c r="N26" s="47"/>
      <c r="O26" s="49"/>
      <c r="P26" s="50"/>
      <c r="Q26" s="47"/>
      <c r="R26" s="47"/>
      <c r="S26" s="47"/>
      <c r="T26" s="47"/>
      <c r="U26" s="47"/>
      <c r="V26" s="47"/>
      <c r="W26" s="47"/>
      <c r="X26" s="51"/>
      <c r="Y26" s="52"/>
      <c r="Z26" s="53"/>
      <c r="AD26" s="40"/>
      <c r="AF26" s="41"/>
    </row>
    <row r="27" spans="1:32" s="39" customFormat="1" ht="25" x14ac:dyDescent="0.35">
      <c r="A27" s="44"/>
      <c r="B27" s="45"/>
      <c r="C27" s="45"/>
      <c r="D27" s="45"/>
      <c r="E27" s="44"/>
      <c r="F27" s="46"/>
      <c r="G27" s="47"/>
      <c r="H27" s="47"/>
      <c r="I27" s="47"/>
      <c r="J27" s="12"/>
      <c r="K27" s="48"/>
      <c r="L27" s="47"/>
      <c r="M27" s="47"/>
      <c r="N27" s="47"/>
      <c r="O27" s="49"/>
      <c r="P27" s="50"/>
      <c r="Q27" s="47"/>
      <c r="R27" s="47"/>
      <c r="S27" s="47"/>
      <c r="T27" s="47"/>
      <c r="U27" s="47"/>
      <c r="V27" s="47"/>
      <c r="W27" s="47"/>
      <c r="X27" s="51"/>
      <c r="Y27" s="52"/>
      <c r="Z27" s="53"/>
      <c r="AD27" s="40"/>
      <c r="AF27" s="41"/>
    </row>
    <row r="28" spans="1:32" ht="23.5" x14ac:dyDescent="0.55000000000000004">
      <c r="A28" s="54"/>
      <c r="B28" s="55"/>
      <c r="C28" s="55"/>
      <c r="D28" s="55"/>
      <c r="E28" s="56"/>
      <c r="F28" s="55"/>
      <c r="G28" s="55"/>
      <c r="H28" s="55"/>
      <c r="I28" s="55"/>
      <c r="J28" s="55"/>
      <c r="K28" s="55"/>
      <c r="L28" s="55"/>
      <c r="M28" s="55"/>
      <c r="N28" s="55"/>
      <c r="O28" s="55"/>
      <c r="P28" s="55"/>
      <c r="Q28" s="55"/>
      <c r="R28" s="57"/>
      <c r="S28" s="55"/>
      <c r="T28" s="55"/>
      <c r="U28" s="55"/>
      <c r="V28" s="55"/>
      <c r="W28" s="55"/>
      <c r="X28" s="55"/>
      <c r="Y28" s="55"/>
      <c r="Z28" s="55"/>
      <c r="AA28" s="55"/>
    </row>
    <row r="29" spans="1:32" ht="23.5" x14ac:dyDescent="0.55000000000000004">
      <c r="A29" s="54"/>
      <c r="B29" s="55"/>
      <c r="C29" s="55"/>
      <c r="D29" s="55"/>
      <c r="E29" s="56"/>
      <c r="F29" s="55"/>
      <c r="G29" s="55"/>
      <c r="H29" s="55"/>
      <c r="I29" s="55"/>
      <c r="J29" s="55"/>
      <c r="K29" s="55"/>
      <c r="L29" s="55"/>
      <c r="M29" s="55"/>
      <c r="N29" s="55"/>
      <c r="O29" s="55"/>
      <c r="P29" s="55"/>
      <c r="Q29" s="55"/>
      <c r="R29" s="57"/>
      <c r="S29" s="55"/>
      <c r="T29" s="55"/>
      <c r="U29" s="55"/>
      <c r="V29" s="55"/>
      <c r="W29" s="55"/>
      <c r="X29" s="55"/>
      <c r="Y29" s="55"/>
      <c r="Z29" s="55"/>
      <c r="AA29" s="55"/>
    </row>
    <row r="30" spans="1:32" ht="23.5" x14ac:dyDescent="0.55000000000000004">
      <c r="A30" s="54"/>
      <c r="B30" s="55"/>
      <c r="C30" s="55"/>
      <c r="D30" s="55"/>
      <c r="E30" s="56"/>
      <c r="F30" s="55"/>
      <c r="G30" s="55"/>
      <c r="H30" s="55"/>
      <c r="I30" s="55"/>
      <c r="J30" s="55"/>
      <c r="K30" s="55"/>
      <c r="L30" s="55"/>
      <c r="M30" s="55"/>
      <c r="N30" s="55"/>
      <c r="O30" s="55"/>
      <c r="P30" s="55"/>
      <c r="Q30" s="55"/>
      <c r="R30" s="57"/>
      <c r="S30" s="55"/>
      <c r="T30" s="55"/>
      <c r="U30" s="55"/>
      <c r="V30" s="55"/>
      <c r="W30" s="55"/>
      <c r="X30" s="55"/>
      <c r="Y30" s="55"/>
      <c r="Z30" s="55"/>
      <c r="AA30" s="55"/>
    </row>
    <row r="31" spans="1:32" ht="23.5" x14ac:dyDescent="0.55000000000000004">
      <c r="A31" s="54"/>
      <c r="B31" s="55"/>
      <c r="C31" s="55"/>
      <c r="D31" s="55"/>
      <c r="E31" s="56"/>
      <c r="F31" s="55"/>
      <c r="G31" s="55"/>
      <c r="H31" s="55"/>
      <c r="I31" s="55"/>
      <c r="J31" s="55"/>
      <c r="K31" s="55"/>
      <c r="L31" s="55"/>
      <c r="M31" s="55"/>
      <c r="N31" s="55"/>
      <c r="O31" s="55"/>
      <c r="P31" s="55"/>
      <c r="Q31" s="55"/>
      <c r="R31" s="57"/>
      <c r="S31" s="55"/>
      <c r="T31" s="55"/>
      <c r="U31" s="55"/>
      <c r="V31" s="55"/>
      <c r="W31" s="55"/>
      <c r="X31" s="55"/>
      <c r="Y31" s="55"/>
      <c r="Z31" s="55"/>
      <c r="AA31" s="55"/>
    </row>
    <row r="32" spans="1:32" ht="23.5" x14ac:dyDescent="0.55000000000000004">
      <c r="A32" s="54"/>
      <c r="B32" s="55"/>
      <c r="C32" s="55"/>
      <c r="D32" s="55"/>
      <c r="E32" s="56"/>
      <c r="F32" s="55"/>
      <c r="G32" s="55"/>
      <c r="H32" s="55"/>
      <c r="I32" s="55"/>
      <c r="J32" s="55"/>
      <c r="K32" s="55"/>
      <c r="L32" s="55"/>
      <c r="M32" s="55"/>
      <c r="N32" s="55"/>
      <c r="O32" s="55"/>
      <c r="P32" s="55"/>
      <c r="Q32" s="55"/>
      <c r="R32" s="57"/>
      <c r="S32" s="55"/>
      <c r="T32" s="55"/>
      <c r="U32" s="55"/>
      <c r="V32" s="55"/>
      <c r="W32" s="55"/>
      <c r="X32" s="55"/>
      <c r="Y32" s="55"/>
      <c r="Z32" s="55"/>
      <c r="AA32" s="55"/>
    </row>
    <row r="33" spans="1:27" ht="23.5" x14ac:dyDescent="0.55000000000000004">
      <c r="A33" s="54"/>
      <c r="B33" s="55"/>
      <c r="C33" s="55"/>
      <c r="D33" s="55"/>
      <c r="E33" s="56"/>
      <c r="F33" s="55"/>
      <c r="G33" s="55"/>
      <c r="H33" s="55"/>
      <c r="I33" s="55"/>
      <c r="J33" s="55"/>
      <c r="K33" s="55"/>
      <c r="L33" s="55"/>
      <c r="M33" s="55"/>
      <c r="N33" s="55"/>
      <c r="O33" s="55"/>
      <c r="P33" s="55"/>
      <c r="Q33" s="55"/>
      <c r="R33" s="57"/>
      <c r="S33" s="55"/>
      <c r="T33" s="55"/>
      <c r="U33" s="55"/>
      <c r="V33" s="55"/>
      <c r="W33" s="55"/>
      <c r="X33" s="55"/>
      <c r="Y33" s="55"/>
      <c r="Z33" s="55"/>
      <c r="AA33" s="55"/>
    </row>
    <row r="34" spans="1:27" ht="23.5" x14ac:dyDescent="0.55000000000000004">
      <c r="A34" s="54"/>
      <c r="B34" s="55"/>
      <c r="C34" s="55"/>
      <c r="D34" s="55"/>
      <c r="E34" s="58"/>
      <c r="F34" s="55"/>
      <c r="G34" s="55"/>
      <c r="H34" s="55"/>
      <c r="I34" s="55"/>
      <c r="J34" s="55"/>
      <c r="K34" s="55"/>
      <c r="L34" s="55"/>
      <c r="M34" s="55"/>
      <c r="N34" s="55"/>
      <c r="O34" s="55"/>
      <c r="P34" s="55"/>
      <c r="Q34" s="55"/>
      <c r="R34" s="57"/>
      <c r="S34" s="55"/>
      <c r="T34" s="55"/>
      <c r="U34" s="55"/>
      <c r="V34" s="55"/>
      <c r="W34" s="55"/>
      <c r="X34" s="55"/>
      <c r="Y34" s="55"/>
      <c r="Z34" s="55"/>
      <c r="AA34" s="55"/>
    </row>
    <row r="35" spans="1:27" ht="23.5" x14ac:dyDescent="0.55000000000000004">
      <c r="A35" s="55"/>
      <c r="B35" s="55"/>
      <c r="C35" s="55"/>
      <c r="D35" s="55"/>
      <c r="E35" s="55"/>
      <c r="F35" s="55" t="s">
        <v>65</v>
      </c>
      <c r="G35" s="55"/>
      <c r="H35" s="55"/>
      <c r="I35" s="55"/>
      <c r="J35" s="55"/>
      <c r="K35" s="55"/>
      <c r="L35" s="55"/>
      <c r="M35" s="55"/>
      <c r="N35" s="55"/>
      <c r="O35" s="55"/>
      <c r="P35" s="55"/>
      <c r="Q35" s="55"/>
      <c r="R35" s="57"/>
      <c r="S35" s="55"/>
      <c r="T35" s="55"/>
      <c r="U35" s="55"/>
      <c r="V35" s="55"/>
      <c r="W35" s="55"/>
      <c r="X35" s="55"/>
      <c r="Y35" s="55"/>
      <c r="Z35" s="55"/>
      <c r="AA35" s="55"/>
    </row>
    <row r="36" spans="1:27" x14ac:dyDescent="0.35">
      <c r="F36" t="s">
        <v>66</v>
      </c>
    </row>
    <row r="44" spans="1:27" ht="28.5" x14ac:dyDescent="0.65">
      <c r="B44" s="59"/>
      <c r="C44" s="59"/>
    </row>
    <row r="45" spans="1:27" ht="28.5" x14ac:dyDescent="0.65">
      <c r="B45" s="59" t="s">
        <v>63</v>
      </c>
      <c r="C45" s="59"/>
    </row>
    <row r="46" spans="1:27" ht="28.5" x14ac:dyDescent="0.65">
      <c r="B46" s="59" t="s">
        <v>64</v>
      </c>
      <c r="C46" s="59"/>
    </row>
    <row r="47" spans="1:27" ht="28.5" x14ac:dyDescent="0.65">
      <c r="B47" s="59"/>
      <c r="C47" s="59"/>
    </row>
  </sheetData>
  <mergeCells count="18">
    <mergeCell ref="W6:W7"/>
    <mergeCell ref="X6:X7"/>
    <mergeCell ref="Y6:Y7"/>
    <mergeCell ref="O6:O7"/>
    <mergeCell ref="P6:P7"/>
    <mergeCell ref="Q6:Q7"/>
    <mergeCell ref="R6:T6"/>
    <mergeCell ref="U6:U7"/>
    <mergeCell ref="V6:V7"/>
    <mergeCell ref="B3:N3"/>
    <mergeCell ref="A6:D6"/>
    <mergeCell ref="E6:G6"/>
    <mergeCell ref="I6:I7"/>
    <mergeCell ref="J6:J7"/>
    <mergeCell ref="K6:K7"/>
    <mergeCell ref="L6:L7"/>
    <mergeCell ref="M6:M7"/>
    <mergeCell ref="N6:N7"/>
  </mergeCells>
  <conditionalFormatting sqref="H4:H1048576">
    <cfRule type="cellIs" dxfId="0" priority="1" operator="lessThan">
      <formula>0</formula>
    </cfRule>
  </conditionalFormatting>
  <printOptions horizontalCentered="1" verticalCentered="1"/>
  <pageMargins left="0.25" right="0.25" top="0.75" bottom="0.75" header="0.3" footer="0.3"/>
  <pageSetup paperSize="5" scale="30" fitToWidth="0" orientation="landscape" horizontalDpi="4294967293" r:id="rId1"/>
  <ignoredErrors>
    <ignoredError sqref="B10:B11 B16 D15" formula="1"/>
  </ignoredError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CCAEE-3F3C-4414-92D3-76220692C72F}">
  <dimension ref="A3:G40"/>
  <sheetViews>
    <sheetView workbookViewId="0">
      <selection activeCell="G11" sqref="G11"/>
    </sheetView>
  </sheetViews>
  <sheetFormatPr baseColWidth="10" defaultRowHeight="14.5" x14ac:dyDescent="0.35"/>
  <cols>
    <col min="1" max="1" width="23.54296875" customWidth="1"/>
    <col min="2" max="2" width="16.6328125" bestFit="1" customWidth="1"/>
  </cols>
  <sheetData>
    <row r="3" spans="1:7" x14ac:dyDescent="0.35">
      <c r="A3" t="s">
        <v>69</v>
      </c>
    </row>
    <row r="4" spans="1:7" x14ac:dyDescent="0.35">
      <c r="A4" t="s">
        <v>70</v>
      </c>
    </row>
    <row r="5" spans="1:7" x14ac:dyDescent="0.35">
      <c r="A5" t="s">
        <v>71</v>
      </c>
      <c r="D5" s="6"/>
    </row>
    <row r="6" spans="1:7" x14ac:dyDescent="0.35">
      <c r="A6" t="s">
        <v>72</v>
      </c>
    </row>
    <row r="8" spans="1:7" x14ac:dyDescent="0.35">
      <c r="A8" s="125" t="s">
        <v>73</v>
      </c>
      <c r="B8" s="125"/>
      <c r="C8" s="125"/>
      <c r="D8" s="125"/>
    </row>
    <row r="13" spans="1:7" ht="15" thickBot="1" x14ac:dyDescent="0.4">
      <c r="A13" s="125" t="s">
        <v>74</v>
      </c>
      <c r="B13" s="125"/>
      <c r="C13" s="125"/>
      <c r="D13" s="125"/>
    </row>
    <row r="14" spans="1:7" x14ac:dyDescent="0.35">
      <c r="A14" s="82" t="s">
        <v>75</v>
      </c>
      <c r="B14" s="83">
        <v>0.01</v>
      </c>
    </row>
    <row r="15" spans="1:7" x14ac:dyDescent="0.35">
      <c r="A15" s="84" t="s">
        <v>76</v>
      </c>
      <c r="B15" s="85">
        <f>C15*(0.0254)</f>
        <v>0.254</v>
      </c>
      <c r="C15">
        <v>10</v>
      </c>
      <c r="D15" t="s">
        <v>77</v>
      </c>
      <c r="E15" s="124" t="s">
        <v>78</v>
      </c>
      <c r="F15" s="124"/>
      <c r="G15" s="124"/>
    </row>
    <row r="16" spans="1:7" x14ac:dyDescent="0.35">
      <c r="A16" s="84" t="s">
        <v>79</v>
      </c>
      <c r="B16" s="85">
        <v>0.02</v>
      </c>
    </row>
    <row r="17" spans="1:4" ht="15" thickBot="1" x14ac:dyDescent="0.4">
      <c r="A17" s="86" t="s">
        <v>80</v>
      </c>
      <c r="B17" s="87">
        <f>(1/B14)*(B15/4)^(2/3)*(B16)^(1/2)</f>
        <v>2.2509411880518968</v>
      </c>
    </row>
    <row r="19" spans="1:4" ht="15" thickBot="1" x14ac:dyDescent="0.4">
      <c r="A19" s="125" t="s">
        <v>81</v>
      </c>
      <c r="B19" s="125"/>
      <c r="C19" s="125"/>
    </row>
    <row r="20" spans="1:4" ht="15" thickBot="1" x14ac:dyDescent="0.4">
      <c r="A20" s="88" t="s">
        <v>82</v>
      </c>
      <c r="B20" s="89">
        <f>(PI()*(B15)^2)/4*(B17)</f>
        <v>0.11405687349945033</v>
      </c>
      <c r="C20" s="90" t="s">
        <v>83</v>
      </c>
    </row>
    <row r="21" spans="1:4" ht="15" thickBot="1" x14ac:dyDescent="0.4">
      <c r="A21" s="88" t="s">
        <v>82</v>
      </c>
      <c r="B21" s="89">
        <f>B20*1000</f>
        <v>114.05687349945033</v>
      </c>
      <c r="C21" s="90" t="s">
        <v>84</v>
      </c>
    </row>
    <row r="22" spans="1:4" ht="15" thickBot="1" x14ac:dyDescent="0.4">
      <c r="B22" s="88">
        <f>ROUNDUP(B21,0)</f>
        <v>115</v>
      </c>
    </row>
    <row r="23" spans="1:4" ht="15" thickBot="1" x14ac:dyDescent="0.4">
      <c r="A23" s="90" t="s">
        <v>85</v>
      </c>
      <c r="B23" s="91">
        <v>72</v>
      </c>
      <c r="C23" s="90" t="s">
        <v>84</v>
      </c>
      <c r="D23" t="s">
        <v>86</v>
      </c>
    </row>
    <row r="24" spans="1:4" x14ac:dyDescent="0.35">
      <c r="A24" s="125" t="s">
        <v>87</v>
      </c>
      <c r="B24" s="125"/>
      <c r="C24" s="125"/>
    </row>
    <row r="25" spans="1:4" x14ac:dyDescent="0.35">
      <c r="C25" s="88" t="s">
        <v>85</v>
      </c>
      <c r="D25" s="88">
        <f>B23</f>
        <v>72</v>
      </c>
    </row>
    <row r="26" spans="1:4" x14ac:dyDescent="0.35">
      <c r="C26" s="88" t="s">
        <v>82</v>
      </c>
      <c r="D26" s="88">
        <f>B22</f>
        <v>115</v>
      </c>
    </row>
    <row r="27" spans="1:4" x14ac:dyDescent="0.35">
      <c r="C27" s="92" t="s">
        <v>49</v>
      </c>
      <c r="D27" s="93">
        <f>D25/D26</f>
        <v>0.62608695652173918</v>
      </c>
    </row>
    <row r="28" spans="1:4" x14ac:dyDescent="0.35">
      <c r="A28" s="125" t="s">
        <v>88</v>
      </c>
      <c r="B28" s="125"/>
      <c r="C28" s="125"/>
    </row>
    <row r="29" spans="1:4" x14ac:dyDescent="0.35">
      <c r="A29" s="124" t="s">
        <v>89</v>
      </c>
      <c r="B29" s="124"/>
      <c r="C29" s="124"/>
    </row>
    <row r="30" spans="1:4" x14ac:dyDescent="0.35">
      <c r="A30" t="s">
        <v>90</v>
      </c>
      <c r="B30">
        <v>0.59</v>
      </c>
    </row>
    <row r="31" spans="1:4" x14ac:dyDescent="0.35">
      <c r="A31" s="124" t="s">
        <v>91</v>
      </c>
      <c r="B31" s="124"/>
    </row>
    <row r="33" spans="1:3" x14ac:dyDescent="0.35">
      <c r="A33" t="s">
        <v>92</v>
      </c>
    </row>
    <row r="35" spans="1:3" x14ac:dyDescent="0.35">
      <c r="C35">
        <v>1.05</v>
      </c>
    </row>
    <row r="37" spans="1:3" ht="15" thickBot="1" x14ac:dyDescent="0.4">
      <c r="A37" s="125" t="s">
        <v>93</v>
      </c>
      <c r="B37" s="125"/>
      <c r="C37" s="125"/>
    </row>
    <row r="38" spans="1:3" x14ac:dyDescent="0.35">
      <c r="A38" s="82" t="s">
        <v>80</v>
      </c>
      <c r="B38" s="83">
        <f>C35</f>
        <v>1.05</v>
      </c>
    </row>
    <row r="39" spans="1:3" x14ac:dyDescent="0.35">
      <c r="A39" s="84" t="s">
        <v>94</v>
      </c>
      <c r="B39" s="94">
        <f>B17</f>
        <v>2.2509411880518968</v>
      </c>
    </row>
    <row r="40" spans="1:3" ht="15" thickBot="1" x14ac:dyDescent="0.4">
      <c r="A40" s="95" t="s">
        <v>52</v>
      </c>
      <c r="B40" s="96">
        <f>B38*B39</f>
        <v>2.3634882474544918</v>
      </c>
    </row>
  </sheetData>
  <mergeCells count="9">
    <mergeCell ref="A31:B31"/>
    <mergeCell ref="A37:C37"/>
    <mergeCell ref="A8:D8"/>
    <mergeCell ref="A13:D13"/>
    <mergeCell ref="E15:G15"/>
    <mergeCell ref="A19:C19"/>
    <mergeCell ref="A24:C24"/>
    <mergeCell ref="A28:C28"/>
    <mergeCell ref="A29:C2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D1A19B-DED0-47A2-BE74-135ADF186203}">
  <dimension ref="B13:D39"/>
  <sheetViews>
    <sheetView tabSelected="1" topLeftCell="A15" workbookViewId="0">
      <selection activeCell="I12" sqref="I12"/>
    </sheetView>
  </sheetViews>
  <sheetFormatPr baseColWidth="10" defaultColWidth="11.54296875" defaultRowHeight="15.5" x14ac:dyDescent="0.35"/>
  <cols>
    <col min="1" max="1" width="11.54296875" style="97"/>
    <col min="2" max="2" width="37" style="97" bestFit="1" customWidth="1"/>
    <col min="3" max="4" width="14.6328125" style="97" bestFit="1" customWidth="1"/>
    <col min="5" max="5" width="11.54296875" style="97"/>
    <col min="6" max="6" width="4.90625" style="97" bestFit="1" customWidth="1"/>
    <col min="7" max="16384" width="11.54296875" style="97"/>
  </cols>
  <sheetData>
    <row r="13" spans="2:4" x14ac:dyDescent="0.35">
      <c r="B13" s="126" t="s">
        <v>95</v>
      </c>
      <c r="C13" s="126"/>
    </row>
    <row r="14" spans="2:4" ht="16" thickBot="1" x14ac:dyDescent="0.4"/>
    <row r="15" spans="2:4" ht="16" thickBot="1" x14ac:dyDescent="0.4">
      <c r="B15" s="127" t="s">
        <v>96</v>
      </c>
      <c r="C15" s="128"/>
      <c r="D15" s="129"/>
    </row>
    <row r="16" spans="2:4" x14ac:dyDescent="0.35">
      <c r="B16" s="98" t="s">
        <v>97</v>
      </c>
      <c r="C16" s="98" t="s">
        <v>98</v>
      </c>
      <c r="D16" s="98">
        <v>420</v>
      </c>
    </row>
    <row r="17" spans="2:4" x14ac:dyDescent="0.35">
      <c r="B17" s="99" t="s">
        <v>99</v>
      </c>
      <c r="C17" s="99" t="s">
        <v>100</v>
      </c>
      <c r="D17" s="99">
        <v>780</v>
      </c>
    </row>
    <row r="18" spans="2:4" x14ac:dyDescent="0.35">
      <c r="C18" s="99" t="s">
        <v>101</v>
      </c>
      <c r="D18" s="99">
        <v>2000</v>
      </c>
    </row>
    <row r="19" spans="2:4" x14ac:dyDescent="0.35">
      <c r="C19" s="99" t="s">
        <v>102</v>
      </c>
      <c r="D19" s="99">
        <v>2023</v>
      </c>
    </row>
    <row r="20" spans="2:4" x14ac:dyDescent="0.35">
      <c r="B20" s="99" t="s">
        <v>103</v>
      </c>
      <c r="C20" s="99" t="s">
        <v>75</v>
      </c>
      <c r="D20" s="99">
        <f>D19-D18</f>
        <v>23</v>
      </c>
    </row>
    <row r="21" spans="2:4" x14ac:dyDescent="0.35">
      <c r="B21" s="100" t="s">
        <v>104</v>
      </c>
      <c r="C21" s="101" t="s">
        <v>105</v>
      </c>
      <c r="D21" s="101">
        <f>(((D17/D16)^(1/D20))-1)*100</f>
        <v>2.728022153366827</v>
      </c>
    </row>
    <row r="23" spans="2:4" ht="16" thickBot="1" x14ac:dyDescent="0.4"/>
    <row r="24" spans="2:4" ht="16" thickBot="1" x14ac:dyDescent="0.4">
      <c r="B24" s="127" t="s">
        <v>106</v>
      </c>
      <c r="C24" s="129"/>
    </row>
    <row r="25" spans="2:4" x14ac:dyDescent="0.35">
      <c r="B25" s="98" t="s">
        <v>107</v>
      </c>
      <c r="C25" s="98">
        <v>2053</v>
      </c>
    </row>
    <row r="26" spans="2:4" x14ac:dyDescent="0.35">
      <c r="B26" s="99" t="s">
        <v>108</v>
      </c>
      <c r="C26" s="99">
        <f>D17</f>
        <v>780</v>
      </c>
    </row>
    <row r="27" spans="2:4" x14ac:dyDescent="0.35">
      <c r="B27" s="99" t="s">
        <v>109</v>
      </c>
      <c r="C27" s="99">
        <f>D21</f>
        <v>2.728022153366827</v>
      </c>
    </row>
    <row r="28" spans="2:4" x14ac:dyDescent="0.35">
      <c r="B28" s="99" t="s">
        <v>102</v>
      </c>
      <c r="C28" s="99">
        <f>D19</f>
        <v>2023</v>
      </c>
    </row>
    <row r="29" spans="2:4" x14ac:dyDescent="0.35">
      <c r="B29" s="99" t="s">
        <v>110</v>
      </c>
      <c r="C29" s="99">
        <v>2053</v>
      </c>
    </row>
    <row r="30" spans="2:4" x14ac:dyDescent="0.35">
      <c r="B30" s="102" t="s">
        <v>75</v>
      </c>
      <c r="C30" s="102">
        <f>C29-C28</f>
        <v>30</v>
      </c>
    </row>
    <row r="31" spans="2:4" x14ac:dyDescent="0.35">
      <c r="B31" s="101" t="s">
        <v>111</v>
      </c>
      <c r="C31" s="103">
        <f>C26*(((C27/100)+1)^(C30))</f>
        <v>1748.8896248139845</v>
      </c>
    </row>
    <row r="32" spans="2:4" x14ac:dyDescent="0.35">
      <c r="B32" s="100"/>
      <c r="C32" s="104"/>
    </row>
    <row r="34" spans="2:3" x14ac:dyDescent="0.35">
      <c r="B34" s="97" t="s">
        <v>112</v>
      </c>
      <c r="C34" s="97">
        <f>D16</f>
        <v>420</v>
      </c>
    </row>
    <row r="35" spans="2:3" x14ac:dyDescent="0.35">
      <c r="B35" s="97" t="s">
        <v>109</v>
      </c>
      <c r="C35" s="97">
        <f>C27</f>
        <v>2.728022153366827</v>
      </c>
    </row>
    <row r="36" spans="2:3" x14ac:dyDescent="0.35">
      <c r="B36" s="97" t="s">
        <v>113</v>
      </c>
      <c r="C36" s="97">
        <f>D18</f>
        <v>2000</v>
      </c>
    </row>
    <row r="37" spans="2:3" x14ac:dyDescent="0.35">
      <c r="B37" s="97" t="s">
        <v>114</v>
      </c>
      <c r="C37" s="97">
        <f>C29</f>
        <v>2053</v>
      </c>
    </row>
    <row r="38" spans="2:3" x14ac:dyDescent="0.35">
      <c r="B38" s="97" t="s">
        <v>75</v>
      </c>
      <c r="C38" s="97">
        <f>C30</f>
        <v>30</v>
      </c>
    </row>
    <row r="39" spans="2:3" x14ac:dyDescent="0.35">
      <c r="B39" s="97" t="s">
        <v>115</v>
      </c>
      <c r="C39" s="105">
        <f>C31</f>
        <v>1748.8896248139845</v>
      </c>
    </row>
  </sheetData>
  <mergeCells count="3">
    <mergeCell ref="B13:C13"/>
    <mergeCell ref="B15:D15"/>
    <mergeCell ref="B24:C2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CALCULO DE CAUDALES</vt:lpstr>
      <vt:lpstr>DISEÑO DE DRENAJE</vt:lpstr>
      <vt:lpstr>CONDICIONES DE SECCION LLENA</vt:lpstr>
      <vt:lpstr>POBLACION FUTURA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Nidia Alonzo</dc:creator>
  <cp:lastModifiedBy>MIREA ANABELLA QUICHÉ IXCAMPARIC</cp:lastModifiedBy>
  <cp:lastPrinted>2023-10-03T04:14:16Z</cp:lastPrinted>
  <dcterms:created xsi:type="dcterms:W3CDTF">2023-09-30T00:46:50Z</dcterms:created>
  <dcterms:modified xsi:type="dcterms:W3CDTF">2024-05-02T02:48:00Z</dcterms:modified>
</cp:coreProperties>
</file>